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0020" yWindow="0" windowWidth="20120" windowHeight="12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O168" i="1"/>
  <c r="O167" i="1"/>
  <c r="O166" i="1"/>
  <c r="O165" i="1"/>
  <c r="O164" i="1"/>
  <c r="N168" i="1"/>
  <c r="N167" i="1"/>
  <c r="N166" i="1"/>
  <c r="N165" i="1"/>
  <c r="N164" i="1"/>
  <c r="I168" i="1"/>
  <c r="I167" i="1"/>
  <c r="I166" i="1"/>
  <c r="I165" i="1"/>
  <c r="I164" i="1"/>
  <c r="J168" i="1"/>
  <c r="J167" i="1"/>
  <c r="J166" i="1"/>
  <c r="J165" i="1"/>
  <c r="J164" i="1"/>
  <c r="I156" i="1"/>
  <c r="I155" i="1"/>
  <c r="I154" i="1"/>
  <c r="I153" i="1"/>
  <c r="I152" i="1"/>
  <c r="M148" i="1"/>
  <c r="M147" i="1"/>
  <c r="M146" i="1"/>
  <c r="M145" i="1"/>
  <c r="M144" i="1"/>
  <c r="L148" i="1"/>
  <c r="L147" i="1"/>
  <c r="L146" i="1"/>
  <c r="L145" i="1"/>
  <c r="L144" i="1"/>
  <c r="F150" i="1"/>
  <c r="E150" i="1"/>
  <c r="D150" i="1"/>
  <c r="C150" i="1"/>
  <c r="B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B149" i="1"/>
  <c r="B148" i="1"/>
  <c r="B147" i="1"/>
  <c r="B146" i="1"/>
  <c r="B145" i="1"/>
  <c r="B144" i="1"/>
  <c r="F143" i="1"/>
  <c r="E143" i="1"/>
  <c r="D143" i="1"/>
  <c r="C143" i="1"/>
  <c r="B143" i="1"/>
  <c r="O105" i="1"/>
  <c r="O104" i="1"/>
  <c r="O103" i="1"/>
  <c r="O102" i="1"/>
  <c r="O101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L95" i="1"/>
  <c r="L96" i="1"/>
  <c r="L97" i="1"/>
  <c r="L98" i="1"/>
  <c r="L94" i="1"/>
  <c r="K95" i="1"/>
  <c r="K96" i="1"/>
  <c r="K97" i="1"/>
  <c r="K98" i="1"/>
  <c r="K94" i="1"/>
  <c r="J95" i="1"/>
  <c r="J96" i="1"/>
  <c r="J97" i="1"/>
  <c r="J98" i="1"/>
  <c r="J94" i="1"/>
  <c r="J77" i="1"/>
  <c r="K77" i="1"/>
  <c r="L77" i="1"/>
  <c r="J78" i="1"/>
  <c r="K78" i="1"/>
  <c r="L78" i="1"/>
  <c r="J79" i="1"/>
  <c r="K79" i="1"/>
  <c r="L79" i="1"/>
  <c r="J80" i="1"/>
  <c r="K80" i="1"/>
  <c r="L80" i="1"/>
  <c r="K76" i="1"/>
  <c r="L76" i="1"/>
  <c r="J76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J23" i="1"/>
  <c r="K23" i="1"/>
  <c r="L23" i="1"/>
  <c r="J24" i="1"/>
  <c r="K24" i="1"/>
  <c r="L24" i="1"/>
  <c r="J25" i="1"/>
  <c r="K25" i="1"/>
  <c r="L25" i="1"/>
  <c r="J26" i="1"/>
  <c r="K26" i="1"/>
  <c r="L26" i="1"/>
  <c r="K22" i="1"/>
  <c r="L22" i="1"/>
  <c r="J22" i="1"/>
</calcChain>
</file>

<file path=xl/sharedStrings.xml><?xml version="1.0" encoding="utf-8"?>
<sst xmlns="http://schemas.openxmlformats.org/spreadsheetml/2006/main" count="500" uniqueCount="92">
  <si>
    <t>Group Name:</t>
  </si>
  <si>
    <t>Students:</t>
  </si>
  <si>
    <t>Bead diameter</t>
  </si>
  <si>
    <t xml:space="preserve">(units) </t>
  </si>
  <si>
    <t>Bead Mass</t>
  </si>
  <si>
    <t>(units)</t>
  </si>
  <si>
    <t>Sinking time (1)</t>
  </si>
  <si>
    <t>Sinking time (2)</t>
  </si>
  <si>
    <t>Sinking time (3)</t>
  </si>
  <si>
    <t>Sinking speed (1)</t>
  </si>
  <si>
    <t>Sinking speed (2)</t>
  </si>
  <si>
    <t>Sinking speed (3)</t>
  </si>
  <si>
    <t>Bead Size 1</t>
  </si>
  <si>
    <t>mm</t>
  </si>
  <si>
    <t>g</t>
  </si>
  <si>
    <t>sec</t>
  </si>
  <si>
    <t>Bead Size 2</t>
  </si>
  <si>
    <t>Bead Size 3</t>
  </si>
  <si>
    <t>Bead Size 4</t>
  </si>
  <si>
    <t>Bead Size 5</t>
  </si>
  <si>
    <t>s</t>
  </si>
  <si>
    <t>m/s</t>
  </si>
  <si>
    <t>cm/s</t>
  </si>
  <si>
    <t>Distance (mm)</t>
  </si>
  <si>
    <t>mm/s</t>
  </si>
  <si>
    <t>samantha grusd</t>
  </si>
  <si>
    <t>Marissa Giroux</t>
  </si>
  <si>
    <t>Ian Jones</t>
  </si>
  <si>
    <t>cm</t>
  </si>
  <si>
    <t>Ashley G, Ashley D, katherine D</t>
  </si>
  <si>
    <t>Sarah Conlin</t>
  </si>
  <si>
    <t>Brianna Smith</t>
  </si>
  <si>
    <t>Marina Vandereb</t>
  </si>
  <si>
    <t>Kathryn Johndrow</t>
  </si>
  <si>
    <t>Kathleen Marciano</t>
  </si>
  <si>
    <t>Daria Bednarczyk</t>
  </si>
  <si>
    <t>Ben Reed</t>
  </si>
  <si>
    <t>Epic</t>
  </si>
  <si>
    <t>Strongylocentrotus</t>
  </si>
  <si>
    <t>Coccolithophores</t>
  </si>
  <si>
    <t>Kevin M.</t>
  </si>
  <si>
    <t>Bailey B.</t>
  </si>
  <si>
    <t>Torey B.</t>
  </si>
  <si>
    <t>Tyler Carrier</t>
  </si>
  <si>
    <t>Morgan Smith</t>
  </si>
  <si>
    <t>Megan  More</t>
  </si>
  <si>
    <t>Andrea Santariello</t>
  </si>
  <si>
    <t>Polychaete Princesses</t>
  </si>
  <si>
    <t>Ellie McCarthy</t>
  </si>
  <si>
    <t>Sabrina Pearson</t>
  </si>
  <si>
    <t>Melissa Hoffman</t>
  </si>
  <si>
    <t>Cait Grant</t>
  </si>
  <si>
    <t>Birds w/ wings</t>
  </si>
  <si>
    <t>Titanium Seastars</t>
  </si>
  <si>
    <t>Madison Leary</t>
  </si>
  <si>
    <t>Bender,Ritchie,Derleth</t>
  </si>
  <si>
    <t>Reuven bender,Max Ritchie,Leah Derleth</t>
  </si>
  <si>
    <t xml:space="preserve">Fluffy Box of Turtles </t>
  </si>
  <si>
    <t>Mike Counts, Jeff Dubois, Ariadne Dimoulas</t>
  </si>
  <si>
    <t>Pizza and beer</t>
  </si>
  <si>
    <t>Carolyn, bai, Ashley</t>
  </si>
  <si>
    <t>grams</t>
  </si>
  <si>
    <t>mean</t>
  </si>
  <si>
    <t>stdev</t>
  </si>
  <si>
    <t>median</t>
  </si>
  <si>
    <t>bead 1</t>
  </si>
  <si>
    <t>bead 2</t>
  </si>
  <si>
    <t>bead 3</t>
  </si>
  <si>
    <t>bead 4</t>
  </si>
  <si>
    <t>bead 5</t>
  </si>
  <si>
    <t>Average size [cm]</t>
  </si>
  <si>
    <t>standard deviation [cm]</t>
  </si>
  <si>
    <t>sinking speeds [cm/s]</t>
  </si>
  <si>
    <t>max</t>
  </si>
  <si>
    <t>min</t>
  </si>
  <si>
    <t>16th percentile</t>
  </si>
  <si>
    <t>84th percentile</t>
  </si>
  <si>
    <t>Re</t>
  </si>
  <si>
    <t>F_d [N]</t>
  </si>
  <si>
    <t>cross section [cm^2]</t>
  </si>
  <si>
    <t>delta_A</t>
  </si>
  <si>
    <t>delta_sinking</t>
  </si>
  <si>
    <t>(84-16)/2</t>
  </si>
  <si>
    <t>median sinking speed [cm/s]</t>
  </si>
  <si>
    <t>median diameter [cm]</t>
  </si>
  <si>
    <t>median settling speed [cm/s]</t>
  </si>
  <si>
    <t>F_D [N]</t>
  </si>
  <si>
    <t>WxD</t>
  </si>
  <si>
    <t>delta_D</t>
  </si>
  <si>
    <t>delta_W</t>
  </si>
  <si>
    <t>delta(WxD)</t>
  </si>
  <si>
    <t>delat(F_D)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</si>
</sst>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b/>
      <sz val="11"/>
      <color rgb="FF000000"/>
      <name val="Calibri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8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</cellXfs>
  <cellStyles count="2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94013779527559"/>
                  <c:y val="0.355889472149315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Sheet1!$K$152:$K$156</c:f>
                <c:numCache>
                  <c:formatCode>General</c:formatCode>
                  <c:ptCount val="5"/>
                  <c:pt idx="0">
                    <c:v>0.0676606505759708</c:v>
                  </c:pt>
                  <c:pt idx="1">
                    <c:v>0.0693874497428616</c:v>
                  </c:pt>
                  <c:pt idx="2">
                    <c:v>0.144166822560784</c:v>
                  </c:pt>
                  <c:pt idx="3">
                    <c:v>0.182505491822725</c:v>
                  </c:pt>
                  <c:pt idx="4">
                    <c:v>0.149524093528284</c:v>
                  </c:pt>
                </c:numCache>
              </c:numRef>
            </c:plus>
            <c:minus>
              <c:numRef>
                <c:f>Sheet1!$K$152:$K$156</c:f>
                <c:numCache>
                  <c:formatCode>General</c:formatCode>
                  <c:ptCount val="5"/>
                  <c:pt idx="0">
                    <c:v>0.0676606505759708</c:v>
                  </c:pt>
                  <c:pt idx="1">
                    <c:v>0.0693874497428616</c:v>
                  </c:pt>
                  <c:pt idx="2">
                    <c:v>0.144166822560784</c:v>
                  </c:pt>
                  <c:pt idx="3">
                    <c:v>0.182505491822725</c:v>
                  </c:pt>
                  <c:pt idx="4">
                    <c:v>0.149524093528284</c:v>
                  </c:pt>
                </c:numCache>
              </c:numRef>
            </c:minus>
          </c:errBars>
          <c:errBars>
            <c:errDir val="y"/>
            <c:errBarType val="both"/>
            <c:errValType val="cust"/>
            <c:noEndCap val="0"/>
            <c:plus>
              <c:numRef>
                <c:f>Sheet1!$L$152:$L$156</c:f>
                <c:numCache>
                  <c:formatCode>General</c:formatCode>
                  <c:ptCount val="5"/>
                  <c:pt idx="0">
                    <c:v>0.132053017084918</c:v>
                  </c:pt>
                  <c:pt idx="1">
                    <c:v>0.609214600664588</c:v>
                  </c:pt>
                  <c:pt idx="2">
                    <c:v>4.031481650975612</c:v>
                  </c:pt>
                  <c:pt idx="3">
                    <c:v>3.690923261467982</c:v>
                  </c:pt>
                  <c:pt idx="4">
                    <c:v>3.165347657308488</c:v>
                  </c:pt>
                </c:numCache>
              </c:numRef>
            </c:plus>
            <c:minus>
              <c:numRef>
                <c:f>Sheet1!$L$152:$L$156</c:f>
                <c:numCache>
                  <c:formatCode>General</c:formatCode>
                  <c:ptCount val="5"/>
                  <c:pt idx="0">
                    <c:v>0.132053017084918</c:v>
                  </c:pt>
                  <c:pt idx="1">
                    <c:v>0.609214600664588</c:v>
                  </c:pt>
                  <c:pt idx="2">
                    <c:v>4.031481650975612</c:v>
                  </c:pt>
                  <c:pt idx="3">
                    <c:v>3.690923261467982</c:v>
                  </c:pt>
                  <c:pt idx="4">
                    <c:v>3.165347657308488</c:v>
                  </c:pt>
                </c:numCache>
              </c:numRef>
            </c:minus>
          </c:errBars>
          <c:xVal>
            <c:numRef>
              <c:f>Sheet1!$I$152:$I$156</c:f>
              <c:numCache>
                <c:formatCode>0.0</c:formatCode>
                <c:ptCount val="5"/>
                <c:pt idx="0">
                  <c:v>0.0703008013697821</c:v>
                </c:pt>
                <c:pt idx="1">
                  <c:v>0.215876025606129</c:v>
                </c:pt>
                <c:pt idx="2">
                  <c:v>0.384345463505845</c:v>
                </c:pt>
                <c:pt idx="3">
                  <c:v>0.958359721792632</c:v>
                </c:pt>
                <c:pt idx="4">
                  <c:v>1.39423321153081</c:v>
                </c:pt>
              </c:numCache>
            </c:numRef>
          </c:xVal>
          <c:yVal>
            <c:numRef>
              <c:f>Sheet1!$J$152:$J$156</c:f>
              <c:numCache>
                <c:formatCode>0.0</c:formatCode>
                <c:ptCount val="5"/>
                <c:pt idx="0">
                  <c:v>3.4</c:v>
                </c:pt>
                <c:pt idx="1">
                  <c:v>7.060998151571165</c:v>
                </c:pt>
                <c:pt idx="2">
                  <c:v>12.0</c:v>
                </c:pt>
                <c:pt idx="3">
                  <c:v>23.0</c:v>
                </c:pt>
                <c:pt idx="4">
                  <c:v>36.89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769752"/>
        <c:axId val="2061095336"/>
      </c:scatterChart>
      <c:valAx>
        <c:axId val="206076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cross-section</a:t>
                </a:r>
                <a:r>
                  <a:rPr lang="en-US" baseline="0"/>
                  <a:t> of bead [cm^2]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61095336"/>
        <c:crosses val="autoZero"/>
        <c:crossBetween val="midCat"/>
      </c:valAx>
      <c:valAx>
        <c:axId val="2061095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sinking</a:t>
                </a:r>
                <a:r>
                  <a:rPr lang="en-US" baseline="0"/>
                  <a:t> velocity of bead [cm/s]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2060769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660400</xdr:colOff>
      <xdr:row>149</xdr:row>
      <xdr:rowOff>209550</xdr:rowOff>
    </xdr:from>
    <xdr:to>
      <xdr:col>16</xdr:col>
      <xdr:colOff>736600</xdr:colOff>
      <xdr:row>160</xdr:row>
      <xdr:rowOff>209550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topLeftCell="D140" workbookViewId="0">
      <selection activeCell="G152" sqref="G152:G156"/>
    </sheetView>
  </sheetViews>
  <sheetFormatPr baseColWidth="10" defaultColWidth="15.1640625" defaultRowHeight="18" x14ac:dyDescent="0"/>
  <cols>
    <col min="1" max="1" width="17.5" style="1" customWidth="1"/>
    <col min="2" max="2" width="12" style="2" customWidth="1"/>
    <col min="3" max="3" width="10.6640625" style="2" customWidth="1"/>
    <col min="4" max="4" width="11.1640625" style="2" customWidth="1"/>
    <col min="5" max="5" width="10.6640625" style="2" customWidth="1"/>
    <col min="6" max="6" width="12.5" style="2" customWidth="1"/>
    <col min="7" max="7" width="12.33203125" style="2" customWidth="1"/>
    <col min="8" max="8" width="12" style="2" customWidth="1"/>
    <col min="9" max="9" width="13.5" style="2" bestFit="1" customWidth="1"/>
    <col min="10" max="11" width="16.5" style="2" bestFit="1" customWidth="1"/>
    <col min="12" max="13" width="13.5" style="2" bestFit="1" customWidth="1"/>
    <col min="14" max="16384" width="15.1640625" style="1"/>
  </cols>
  <sheetData>
    <row r="1" spans="1:13" ht="36">
      <c r="A1" s="1" t="s">
        <v>0</v>
      </c>
      <c r="B1" s="2" t="s">
        <v>38</v>
      </c>
    </row>
    <row r="2" spans="1:13" ht="36">
      <c r="A2" s="1" t="s">
        <v>1</v>
      </c>
      <c r="B2" s="2" t="s">
        <v>25</v>
      </c>
      <c r="C2" s="2" t="s">
        <v>26</v>
      </c>
      <c r="D2" s="2" t="s">
        <v>27</v>
      </c>
    </row>
    <row r="3" spans="1:13" ht="36">
      <c r="A3" s="3"/>
      <c r="B3" s="4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5</v>
      </c>
      <c r="J3" s="6" t="s">
        <v>9</v>
      </c>
      <c r="K3" s="6" t="s">
        <v>10</v>
      </c>
      <c r="L3" s="6" t="s">
        <v>11</v>
      </c>
      <c r="M3" s="6" t="s">
        <v>5</v>
      </c>
    </row>
    <row r="4" spans="1:13">
      <c r="A4" s="3" t="s">
        <v>12</v>
      </c>
      <c r="B4" s="4">
        <v>0.3</v>
      </c>
      <c r="C4" s="4" t="s">
        <v>28</v>
      </c>
      <c r="D4" s="5">
        <v>0.13</v>
      </c>
      <c r="E4" s="5" t="s">
        <v>14</v>
      </c>
      <c r="F4" s="4">
        <v>11.66</v>
      </c>
      <c r="G4" s="4">
        <v>11.6</v>
      </c>
      <c r="H4" s="4">
        <v>11.56</v>
      </c>
      <c r="I4" s="4" t="s">
        <v>15</v>
      </c>
      <c r="J4" s="6">
        <v>3.26</v>
      </c>
      <c r="K4" s="6">
        <v>3.28</v>
      </c>
      <c r="L4" s="6">
        <v>3.29</v>
      </c>
      <c r="M4" s="6" t="s">
        <v>22</v>
      </c>
    </row>
    <row r="5" spans="1:13">
      <c r="A5" s="3" t="s">
        <v>16</v>
      </c>
      <c r="B5" s="4">
        <v>0.5</v>
      </c>
      <c r="C5" s="4" t="s">
        <v>28</v>
      </c>
      <c r="D5" s="5">
        <v>0.44</v>
      </c>
      <c r="E5" s="5" t="s">
        <v>14</v>
      </c>
      <c r="F5" s="4">
        <v>5.56</v>
      </c>
      <c r="G5" s="4">
        <v>5.35</v>
      </c>
      <c r="H5" s="4">
        <v>5.41</v>
      </c>
      <c r="I5" s="4" t="s">
        <v>15</v>
      </c>
      <c r="J5" s="6">
        <v>6.91</v>
      </c>
      <c r="K5" s="6">
        <v>7.1</v>
      </c>
      <c r="L5" s="6">
        <v>7.02</v>
      </c>
      <c r="M5" s="6" t="s">
        <v>22</v>
      </c>
    </row>
    <row r="6" spans="1:13">
      <c r="A6" s="3" t="s">
        <v>17</v>
      </c>
      <c r="B6" s="4">
        <v>0.65</v>
      </c>
      <c r="C6" s="4" t="s">
        <v>28</v>
      </c>
      <c r="D6" s="5">
        <v>1.01</v>
      </c>
      <c r="E6" s="5" t="s">
        <v>14</v>
      </c>
      <c r="F6" s="4">
        <v>3.19</v>
      </c>
      <c r="G6" s="4">
        <v>3.31</v>
      </c>
      <c r="H6" s="4">
        <v>3.09</v>
      </c>
      <c r="I6" s="4" t="s">
        <v>15</v>
      </c>
      <c r="J6" s="6">
        <v>11.91</v>
      </c>
      <c r="K6" s="6">
        <v>11.48</v>
      </c>
      <c r="L6" s="6">
        <v>12.3</v>
      </c>
      <c r="M6" s="6" t="s">
        <v>22</v>
      </c>
    </row>
    <row r="7" spans="1:13">
      <c r="A7" s="3" t="s">
        <v>18</v>
      </c>
      <c r="B7" s="4">
        <v>1.05</v>
      </c>
      <c r="C7" s="4" t="s">
        <v>28</v>
      </c>
      <c r="D7" s="5">
        <v>3.51</v>
      </c>
      <c r="E7" s="5" t="s">
        <v>14</v>
      </c>
      <c r="F7" s="4">
        <v>1.66</v>
      </c>
      <c r="G7" s="4">
        <v>1.6</v>
      </c>
      <c r="H7" s="4">
        <v>1.59</v>
      </c>
      <c r="I7" s="4" t="s">
        <v>15</v>
      </c>
      <c r="J7" s="6">
        <v>22.89</v>
      </c>
      <c r="K7" s="6">
        <v>23.75</v>
      </c>
      <c r="L7" s="6">
        <v>23.9</v>
      </c>
      <c r="M7" s="6" t="s">
        <v>22</v>
      </c>
    </row>
    <row r="8" spans="1:13">
      <c r="A8" s="3" t="s">
        <v>19</v>
      </c>
      <c r="B8" s="4">
        <v>1.27</v>
      </c>
      <c r="C8" s="4" t="s">
        <v>28</v>
      </c>
      <c r="D8" s="5">
        <v>8.35</v>
      </c>
      <c r="E8" s="5" t="s">
        <v>14</v>
      </c>
      <c r="F8" s="4">
        <v>1.06</v>
      </c>
      <c r="G8" s="4">
        <v>1.03</v>
      </c>
      <c r="H8" s="4">
        <v>1.04</v>
      </c>
      <c r="I8" s="4" t="s">
        <v>15</v>
      </c>
      <c r="J8" s="6">
        <v>35.85</v>
      </c>
      <c r="K8" s="6">
        <v>36.89</v>
      </c>
      <c r="L8" s="6">
        <v>36.54</v>
      </c>
      <c r="M8" s="6" t="s">
        <v>22</v>
      </c>
    </row>
    <row r="10" spans="1:13">
      <c r="A10" s="1" t="s">
        <v>0</v>
      </c>
      <c r="B10" s="2" t="s">
        <v>37</v>
      </c>
    </row>
    <row r="11" spans="1:13" ht="72">
      <c r="A11" s="1" t="s">
        <v>1</v>
      </c>
      <c r="B11" s="2" t="s">
        <v>29</v>
      </c>
    </row>
    <row r="12" spans="1:13" ht="36">
      <c r="A12" s="3"/>
      <c r="B12" s="4" t="s">
        <v>2</v>
      </c>
      <c r="C12" s="4" t="s">
        <v>3</v>
      </c>
      <c r="D12" s="5" t="s">
        <v>4</v>
      </c>
      <c r="E12" s="5" t="s">
        <v>5</v>
      </c>
      <c r="F12" s="4" t="s">
        <v>6</v>
      </c>
      <c r="G12" s="4" t="s">
        <v>7</v>
      </c>
      <c r="H12" s="4" t="s">
        <v>8</v>
      </c>
      <c r="I12" s="4" t="s">
        <v>5</v>
      </c>
      <c r="J12" s="6" t="s">
        <v>9</v>
      </c>
      <c r="K12" s="6" t="s">
        <v>10</v>
      </c>
      <c r="L12" s="6" t="s">
        <v>11</v>
      </c>
      <c r="M12" s="6" t="s">
        <v>5</v>
      </c>
    </row>
    <row r="13" spans="1:13">
      <c r="A13" s="3" t="s">
        <v>12</v>
      </c>
      <c r="B13" s="4">
        <v>0.318</v>
      </c>
      <c r="C13" s="4" t="s">
        <v>13</v>
      </c>
      <c r="D13" s="5">
        <v>0.14000000000000001</v>
      </c>
      <c r="E13" s="5" t="s">
        <v>14</v>
      </c>
      <c r="F13" s="4">
        <v>11.28</v>
      </c>
      <c r="G13" s="4">
        <v>11.4</v>
      </c>
      <c r="H13" s="4">
        <v>11.5</v>
      </c>
      <c r="I13" s="4" t="s">
        <v>20</v>
      </c>
      <c r="J13" s="6">
        <v>3.32</v>
      </c>
      <c r="K13" s="6">
        <v>3.29</v>
      </c>
      <c r="L13" s="6">
        <v>3.26</v>
      </c>
      <c r="M13" s="6" t="s">
        <v>22</v>
      </c>
    </row>
    <row r="14" spans="1:13">
      <c r="A14" s="3" t="s">
        <v>16</v>
      </c>
      <c r="B14" s="4">
        <v>0.58199999999999996</v>
      </c>
      <c r="C14" s="4" t="s">
        <v>13</v>
      </c>
      <c r="D14" s="5">
        <v>0.41</v>
      </c>
      <c r="E14" s="5" t="s">
        <v>14</v>
      </c>
      <c r="F14" s="4">
        <v>5.43</v>
      </c>
      <c r="G14" s="4">
        <v>5.47</v>
      </c>
      <c r="H14" s="4">
        <v>5.34</v>
      </c>
      <c r="I14" s="4" t="s">
        <v>20</v>
      </c>
      <c r="J14" s="6">
        <v>6.9</v>
      </c>
      <c r="K14" s="6">
        <v>6.6</v>
      </c>
      <c r="L14" s="6">
        <v>7.02</v>
      </c>
      <c r="M14" s="6" t="s">
        <v>22</v>
      </c>
    </row>
    <row r="15" spans="1:13">
      <c r="A15" s="3" t="s">
        <v>17</v>
      </c>
      <c r="B15" s="4">
        <v>0.63500000000000001</v>
      </c>
      <c r="C15" s="4" t="s">
        <v>13</v>
      </c>
      <c r="D15" s="5">
        <v>1.03</v>
      </c>
      <c r="E15" s="5" t="s">
        <v>14</v>
      </c>
      <c r="F15" s="4">
        <v>3.19</v>
      </c>
      <c r="G15" s="4">
        <v>3.12</v>
      </c>
      <c r="H15" s="4">
        <v>3.07</v>
      </c>
      <c r="I15" s="4" t="s">
        <v>20</v>
      </c>
      <c r="J15" s="6">
        <v>11.76</v>
      </c>
      <c r="K15" s="6">
        <v>12.02</v>
      </c>
      <c r="L15" s="6">
        <v>12.21</v>
      </c>
      <c r="M15" s="6" t="s">
        <v>22</v>
      </c>
    </row>
    <row r="16" spans="1:13">
      <c r="A16" s="3" t="s">
        <v>18</v>
      </c>
      <c r="B16" s="4">
        <v>1.53</v>
      </c>
      <c r="C16" s="4" t="s">
        <v>13</v>
      </c>
      <c r="D16" s="5">
        <v>3.53</v>
      </c>
      <c r="E16" s="5" t="s">
        <v>14</v>
      </c>
      <c r="F16" s="4">
        <v>1.62</v>
      </c>
      <c r="G16" s="4">
        <v>1.66</v>
      </c>
      <c r="H16" s="4">
        <v>1.65</v>
      </c>
      <c r="I16" s="4" t="s">
        <v>20</v>
      </c>
      <c r="J16" s="6">
        <v>23.15</v>
      </c>
      <c r="K16" s="6">
        <v>22.6</v>
      </c>
      <c r="L16" s="6">
        <v>22.72</v>
      </c>
      <c r="M16" s="6" t="s">
        <v>22</v>
      </c>
    </row>
    <row r="17" spans="1:15">
      <c r="A17" s="3" t="s">
        <v>19</v>
      </c>
      <c r="B17" s="4">
        <v>1.732</v>
      </c>
      <c r="C17" s="4" t="s">
        <v>13</v>
      </c>
      <c r="D17" s="5">
        <v>8.32</v>
      </c>
      <c r="E17" s="5" t="s">
        <v>14</v>
      </c>
      <c r="F17" s="4">
        <v>1.03</v>
      </c>
      <c r="G17" s="4">
        <v>1.03</v>
      </c>
      <c r="H17" s="4">
        <v>1.0900000000000001</v>
      </c>
      <c r="I17" s="4" t="s">
        <v>20</v>
      </c>
      <c r="J17" s="6">
        <v>36.409999999999997</v>
      </c>
      <c r="K17" s="6">
        <v>36.409999999999997</v>
      </c>
      <c r="L17" s="6">
        <v>34.4</v>
      </c>
      <c r="M17" s="6" t="s">
        <v>22</v>
      </c>
    </row>
    <row r="19" spans="1:15">
      <c r="A19" s="1" t="s">
        <v>0</v>
      </c>
    </row>
    <row r="20" spans="1:15" ht="36">
      <c r="A20" s="1" t="s">
        <v>1</v>
      </c>
      <c r="B20" s="2" t="s">
        <v>30</v>
      </c>
      <c r="C20" s="2" t="s">
        <v>32</v>
      </c>
      <c r="D20" s="2" t="s">
        <v>31</v>
      </c>
    </row>
    <row r="21" spans="1:15" ht="36">
      <c r="A21" s="3"/>
      <c r="B21" s="4" t="s">
        <v>2</v>
      </c>
      <c r="C21" s="4" t="s">
        <v>3</v>
      </c>
      <c r="D21" s="5" t="s">
        <v>4</v>
      </c>
      <c r="E21" s="5" t="s">
        <v>5</v>
      </c>
      <c r="F21" s="4" t="s">
        <v>6</v>
      </c>
      <c r="G21" s="4" t="s">
        <v>7</v>
      </c>
      <c r="H21" s="4" t="s">
        <v>8</v>
      </c>
      <c r="I21" s="4" t="s">
        <v>5</v>
      </c>
      <c r="J21" s="6" t="s">
        <v>9</v>
      </c>
      <c r="K21" s="6" t="s">
        <v>10</v>
      </c>
      <c r="L21" s="6" t="s">
        <v>11</v>
      </c>
      <c r="M21" s="6" t="s">
        <v>5</v>
      </c>
    </row>
    <row r="22" spans="1:15">
      <c r="A22" s="3" t="s">
        <v>12</v>
      </c>
      <c r="B22" s="4">
        <v>12.68</v>
      </c>
      <c r="C22" s="4" t="s">
        <v>13</v>
      </c>
      <c r="D22" s="5">
        <v>8.18</v>
      </c>
      <c r="E22" s="5" t="s">
        <v>14</v>
      </c>
      <c r="F22" s="4">
        <v>1.06</v>
      </c>
      <c r="G22" s="4">
        <v>1.06</v>
      </c>
      <c r="H22" s="4">
        <v>1.1599999999999999</v>
      </c>
      <c r="I22" s="4" t="s">
        <v>20</v>
      </c>
      <c r="J22" s="11">
        <f>F22/30.8*100</f>
        <v>3.4415584415584415</v>
      </c>
      <c r="K22" s="11">
        <f t="shared" ref="K22:L22" si="0">G22/30.8*100</f>
        <v>3.4415584415584415</v>
      </c>
      <c r="L22" s="11">
        <f t="shared" si="0"/>
        <v>3.7662337662337659</v>
      </c>
      <c r="M22" s="6" t="s">
        <v>22</v>
      </c>
    </row>
    <row r="23" spans="1:15">
      <c r="A23" s="3" t="s">
        <v>16</v>
      </c>
      <c r="B23" s="4">
        <v>9.51</v>
      </c>
      <c r="C23" s="4" t="s">
        <v>13</v>
      </c>
      <c r="D23" s="5">
        <v>3.52</v>
      </c>
      <c r="E23" s="5" t="s">
        <v>14</v>
      </c>
      <c r="F23" s="4">
        <v>1.65</v>
      </c>
      <c r="G23" s="4">
        <v>1.63</v>
      </c>
      <c r="H23" s="4">
        <v>1.59</v>
      </c>
      <c r="I23" s="4" t="s">
        <v>20</v>
      </c>
      <c r="J23" s="11">
        <f t="shared" ref="J23:J26" si="1">F23/30.8*100</f>
        <v>5.3571428571428568</v>
      </c>
      <c r="K23" s="11">
        <f t="shared" ref="K23:K26" si="2">G23/30.8*100</f>
        <v>5.2922077922077921</v>
      </c>
      <c r="L23" s="11">
        <f t="shared" ref="L23:L26" si="3">H23/30.8*100</f>
        <v>5.1623376623376629</v>
      </c>
      <c r="M23" s="6" t="s">
        <v>22</v>
      </c>
    </row>
    <row r="24" spans="1:15">
      <c r="A24" s="3" t="s">
        <v>17</v>
      </c>
      <c r="B24" s="4">
        <v>9.34</v>
      </c>
      <c r="C24" s="4" t="s">
        <v>13</v>
      </c>
      <c r="D24" s="5">
        <v>1.02</v>
      </c>
      <c r="E24" s="5" t="s">
        <v>14</v>
      </c>
      <c r="F24" s="4">
        <v>3.19</v>
      </c>
      <c r="G24" s="4">
        <v>3.27</v>
      </c>
      <c r="H24" s="4">
        <v>3.19</v>
      </c>
      <c r="I24" s="4" t="s">
        <v>20</v>
      </c>
      <c r="J24" s="11">
        <f t="shared" si="1"/>
        <v>10.357142857142856</v>
      </c>
      <c r="K24" s="11">
        <f t="shared" si="2"/>
        <v>10.616883116883116</v>
      </c>
      <c r="L24" s="11">
        <f t="shared" si="3"/>
        <v>10.357142857142856</v>
      </c>
      <c r="M24" s="6" t="s">
        <v>22</v>
      </c>
    </row>
    <row r="25" spans="1:15">
      <c r="A25" s="3" t="s">
        <v>18</v>
      </c>
      <c r="B25" s="4">
        <v>4.75</v>
      </c>
      <c r="C25" s="4" t="s">
        <v>13</v>
      </c>
      <c r="D25" s="5">
        <v>0.42</v>
      </c>
      <c r="E25" s="5" t="s">
        <v>14</v>
      </c>
      <c r="F25" s="4">
        <v>5.44</v>
      </c>
      <c r="G25" s="4">
        <v>5.87</v>
      </c>
      <c r="H25" s="4">
        <v>5.31</v>
      </c>
      <c r="I25" s="4" t="s">
        <v>20</v>
      </c>
      <c r="J25" s="11">
        <f t="shared" si="1"/>
        <v>17.662337662337663</v>
      </c>
      <c r="K25" s="11">
        <f t="shared" si="2"/>
        <v>19.058441558441558</v>
      </c>
      <c r="L25" s="11">
        <f t="shared" si="3"/>
        <v>17.240259740259738</v>
      </c>
      <c r="M25" s="6" t="s">
        <v>22</v>
      </c>
    </row>
    <row r="26" spans="1:15">
      <c r="A26" s="3" t="s">
        <v>19</v>
      </c>
      <c r="B26" s="4">
        <v>3.16</v>
      </c>
      <c r="C26" s="4" t="s">
        <v>13</v>
      </c>
      <c r="D26" s="5">
        <v>0.13</v>
      </c>
      <c r="E26" s="5" t="s">
        <v>14</v>
      </c>
      <c r="F26" s="4">
        <v>11.47</v>
      </c>
      <c r="G26" s="4">
        <v>11.34</v>
      </c>
      <c r="H26" s="4">
        <v>11.65</v>
      </c>
      <c r="I26" s="4" t="s">
        <v>20</v>
      </c>
      <c r="J26" s="11">
        <f t="shared" si="1"/>
        <v>37.240259740259738</v>
      </c>
      <c r="K26" s="11">
        <f t="shared" si="2"/>
        <v>36.818181818181813</v>
      </c>
      <c r="L26" s="11">
        <f t="shared" si="3"/>
        <v>37.824675324675326</v>
      </c>
      <c r="M26" s="6" t="s">
        <v>22</v>
      </c>
    </row>
    <row r="28" spans="1:15">
      <c r="A28" s="1" t="s">
        <v>0</v>
      </c>
      <c r="B28" s="2">
        <v>3</v>
      </c>
    </row>
    <row r="29" spans="1:15" ht="54">
      <c r="A29" s="1" t="s">
        <v>1</v>
      </c>
      <c r="B29" s="2" t="s">
        <v>33</v>
      </c>
      <c r="C29" s="2" t="s">
        <v>34</v>
      </c>
      <c r="D29" s="2" t="s">
        <v>35</v>
      </c>
      <c r="E29" s="2" t="s">
        <v>36</v>
      </c>
    </row>
    <row r="30" spans="1:15" ht="36">
      <c r="A30" s="3"/>
      <c r="B30" s="4" t="s">
        <v>2</v>
      </c>
      <c r="C30" s="4" t="s">
        <v>3</v>
      </c>
      <c r="D30" s="5" t="s">
        <v>4</v>
      </c>
      <c r="E30" s="5" t="s">
        <v>5</v>
      </c>
      <c r="F30" s="4" t="s">
        <v>6</v>
      </c>
      <c r="G30" s="4" t="s">
        <v>7</v>
      </c>
      <c r="H30" s="4" t="s">
        <v>8</v>
      </c>
      <c r="I30" s="4" t="s">
        <v>5</v>
      </c>
      <c r="J30" s="6" t="s">
        <v>9</v>
      </c>
      <c r="K30" s="6" t="s">
        <v>10</v>
      </c>
      <c r="L30" s="6" t="s">
        <v>11</v>
      </c>
      <c r="M30" s="6" t="s">
        <v>5</v>
      </c>
      <c r="N30" s="1" t="s">
        <v>23</v>
      </c>
    </row>
    <row r="31" spans="1:15">
      <c r="A31" s="3" t="s">
        <v>12</v>
      </c>
      <c r="B31" s="4">
        <v>1.27</v>
      </c>
      <c r="C31" s="4" t="s">
        <v>28</v>
      </c>
      <c r="D31" s="5">
        <v>8.34</v>
      </c>
      <c r="E31" s="5" t="s">
        <v>14</v>
      </c>
      <c r="F31" s="4">
        <v>0.97</v>
      </c>
      <c r="G31" s="4">
        <v>0.9</v>
      </c>
      <c r="H31" s="4">
        <v>0.97</v>
      </c>
      <c r="I31" s="7" t="s">
        <v>15</v>
      </c>
      <c r="J31" s="6">
        <v>39.18</v>
      </c>
      <c r="K31" s="6">
        <v>42.2</v>
      </c>
      <c r="L31" s="6">
        <v>39.18</v>
      </c>
      <c r="M31" s="8" t="s">
        <v>22</v>
      </c>
      <c r="O31" s="1">
        <v>430</v>
      </c>
    </row>
    <row r="32" spans="1:15">
      <c r="A32" s="3" t="s">
        <v>16</v>
      </c>
      <c r="B32" s="4">
        <v>1.1519999999999999</v>
      </c>
      <c r="C32" s="4" t="s">
        <v>28</v>
      </c>
      <c r="D32" s="5">
        <v>3.46</v>
      </c>
      <c r="E32" s="5" t="s">
        <v>14</v>
      </c>
      <c r="F32" s="4">
        <v>1.63</v>
      </c>
      <c r="G32" s="4">
        <v>2.4700000000000002</v>
      </c>
      <c r="H32" s="4">
        <v>1.66</v>
      </c>
      <c r="I32" s="7" t="s">
        <v>15</v>
      </c>
      <c r="J32" s="6">
        <v>23.31</v>
      </c>
      <c r="K32" s="6">
        <v>18.63</v>
      </c>
      <c r="L32" s="6">
        <v>22.89</v>
      </c>
      <c r="M32" s="8" t="s">
        <v>22</v>
      </c>
      <c r="O32" s="1">
        <v>430</v>
      </c>
    </row>
    <row r="33" spans="1:15">
      <c r="A33" s="3" t="s">
        <v>17</v>
      </c>
      <c r="B33" s="4">
        <v>0.63300000000000001</v>
      </c>
      <c r="C33" s="4" t="s">
        <v>28</v>
      </c>
      <c r="D33" s="5">
        <v>1.01</v>
      </c>
      <c r="E33" s="5" t="s">
        <v>14</v>
      </c>
      <c r="F33" s="4">
        <v>3.35</v>
      </c>
      <c r="G33" s="4">
        <v>3.37</v>
      </c>
      <c r="H33" s="4">
        <v>3.15</v>
      </c>
      <c r="I33" s="7" t="s">
        <v>15</v>
      </c>
      <c r="J33" s="6">
        <v>11.34</v>
      </c>
      <c r="K33" s="6">
        <v>11.28</v>
      </c>
      <c r="L33" s="6">
        <v>12.06</v>
      </c>
      <c r="M33" s="8" t="s">
        <v>22</v>
      </c>
      <c r="O33" s="1">
        <v>430</v>
      </c>
    </row>
    <row r="34" spans="1:15">
      <c r="A34" s="3" t="s">
        <v>18</v>
      </c>
      <c r="B34" s="4">
        <v>0.57899999999999996</v>
      </c>
      <c r="C34" s="4" t="s">
        <v>28</v>
      </c>
      <c r="D34" s="5">
        <v>0.41</v>
      </c>
      <c r="E34" s="5" t="s">
        <v>14</v>
      </c>
      <c r="F34" s="4">
        <v>5.6</v>
      </c>
      <c r="G34" s="4">
        <v>5.47</v>
      </c>
      <c r="H34" s="4">
        <v>5.53</v>
      </c>
      <c r="I34" s="7" t="s">
        <v>15</v>
      </c>
      <c r="J34" s="6">
        <v>6.79</v>
      </c>
      <c r="K34" s="6">
        <v>6.95</v>
      </c>
      <c r="L34" s="6">
        <v>6.87</v>
      </c>
      <c r="M34" s="8" t="s">
        <v>22</v>
      </c>
      <c r="O34" s="1">
        <v>430</v>
      </c>
    </row>
    <row r="35" spans="1:15">
      <c r="A35" s="3" t="s">
        <v>19</v>
      </c>
      <c r="B35" s="4">
        <v>0.31900000000000001</v>
      </c>
      <c r="C35" s="4" t="s">
        <v>28</v>
      </c>
      <c r="D35" s="5">
        <v>0.13</v>
      </c>
      <c r="E35" s="5" t="s">
        <v>14</v>
      </c>
      <c r="F35" s="4">
        <v>11.34</v>
      </c>
      <c r="G35" s="4">
        <v>11.97</v>
      </c>
      <c r="H35" s="4">
        <v>11.59</v>
      </c>
      <c r="I35" s="7" t="s">
        <v>15</v>
      </c>
      <c r="J35" s="6">
        <v>3.35</v>
      </c>
      <c r="K35" s="6">
        <v>3.17</v>
      </c>
      <c r="L35" s="6">
        <v>3.28</v>
      </c>
      <c r="M35" s="8" t="s">
        <v>22</v>
      </c>
    </row>
    <row r="37" spans="1:15" ht="36">
      <c r="A37" s="1" t="s">
        <v>0</v>
      </c>
      <c r="B37" s="2" t="s">
        <v>39</v>
      </c>
    </row>
    <row r="38" spans="1:15">
      <c r="A38" s="1" t="s">
        <v>1</v>
      </c>
      <c r="B38" s="2" t="s">
        <v>40</v>
      </c>
      <c r="C38" s="2" t="s">
        <v>41</v>
      </c>
      <c r="D38" s="2" t="s">
        <v>42</v>
      </c>
    </row>
    <row r="39" spans="1:15" ht="36">
      <c r="A39" s="3"/>
      <c r="B39" s="4" t="s">
        <v>2</v>
      </c>
      <c r="C39" s="4" t="s">
        <v>3</v>
      </c>
      <c r="D39" s="5" t="s">
        <v>4</v>
      </c>
      <c r="E39" s="5" t="s">
        <v>5</v>
      </c>
      <c r="F39" s="4" t="s">
        <v>6</v>
      </c>
      <c r="G39" s="4" t="s">
        <v>7</v>
      </c>
      <c r="H39" s="4" t="s">
        <v>8</v>
      </c>
      <c r="I39" s="4" t="s">
        <v>5</v>
      </c>
      <c r="J39" s="6" t="s">
        <v>9</v>
      </c>
      <c r="K39" s="6" t="s">
        <v>10</v>
      </c>
      <c r="L39" s="6" t="s">
        <v>11</v>
      </c>
      <c r="M39" s="6" t="s">
        <v>5</v>
      </c>
    </row>
    <row r="40" spans="1:15">
      <c r="A40" s="3" t="s">
        <v>12</v>
      </c>
      <c r="B40" s="4">
        <v>0.1</v>
      </c>
      <c r="C40" s="4" t="s">
        <v>13</v>
      </c>
      <c r="D40" s="5">
        <v>0.11</v>
      </c>
      <c r="E40" s="5" t="s">
        <v>14</v>
      </c>
      <c r="F40" s="4">
        <v>13.47</v>
      </c>
      <c r="G40" s="4">
        <v>13.5</v>
      </c>
      <c r="H40" s="4">
        <v>13.1</v>
      </c>
      <c r="I40" s="4" t="s">
        <v>20</v>
      </c>
      <c r="J40" s="6">
        <v>3.5000000000000003E-2</v>
      </c>
      <c r="K40" s="6">
        <v>3.5000000000000003E-2</v>
      </c>
      <c r="L40" s="6">
        <v>3.5999999999999997E-2</v>
      </c>
      <c r="M40" s="6" t="s">
        <v>21</v>
      </c>
    </row>
    <row r="41" spans="1:15">
      <c r="A41" s="3" t="s">
        <v>16</v>
      </c>
      <c r="B41" s="4">
        <v>0.47</v>
      </c>
      <c r="C41" s="4" t="s">
        <v>13</v>
      </c>
      <c r="D41" s="5">
        <v>0.44</v>
      </c>
      <c r="E41" s="5" t="s">
        <v>14</v>
      </c>
      <c r="F41" s="4">
        <v>6.22</v>
      </c>
      <c r="G41" s="4">
        <v>6.31</v>
      </c>
      <c r="H41" s="4">
        <v>6.4</v>
      </c>
      <c r="I41" s="4" t="s">
        <v>20</v>
      </c>
      <c r="J41" s="6">
        <v>7.5999999999999998E-2</v>
      </c>
      <c r="K41" s="6">
        <v>7.4999999999999997E-2</v>
      </c>
      <c r="L41" s="6">
        <v>7.3999999999999996E-2</v>
      </c>
      <c r="M41" s="6" t="s">
        <v>21</v>
      </c>
    </row>
    <row r="42" spans="1:15">
      <c r="A42" s="3" t="s">
        <v>17</v>
      </c>
      <c r="B42" s="4">
        <v>0.63200000000000001</v>
      </c>
      <c r="C42" s="4" t="s">
        <v>13</v>
      </c>
      <c r="D42" s="5">
        <v>1.03</v>
      </c>
      <c r="E42" s="5" t="s">
        <v>14</v>
      </c>
      <c r="F42" s="4">
        <v>3.69</v>
      </c>
      <c r="G42" s="4">
        <v>3.66</v>
      </c>
      <c r="H42" s="4">
        <v>3.7</v>
      </c>
      <c r="I42" s="4" t="s">
        <v>20</v>
      </c>
      <c r="J42" s="6">
        <v>0.128</v>
      </c>
      <c r="K42" s="6">
        <v>0.129</v>
      </c>
      <c r="L42" s="6">
        <v>0.127</v>
      </c>
      <c r="M42" s="6" t="s">
        <v>21</v>
      </c>
    </row>
    <row r="43" spans="1:15">
      <c r="A43" s="3" t="s">
        <v>18</v>
      </c>
      <c r="B43" s="4">
        <v>1.0509999999999999</v>
      </c>
      <c r="C43" s="4" t="s">
        <v>13</v>
      </c>
      <c r="D43" s="5">
        <v>3.52</v>
      </c>
      <c r="E43" s="5" t="s">
        <v>14</v>
      </c>
      <c r="F43" s="4">
        <v>1.9</v>
      </c>
      <c r="G43" s="4">
        <v>1.89</v>
      </c>
      <c r="H43" s="4">
        <v>1.85</v>
      </c>
      <c r="I43" s="4" t="s">
        <v>20</v>
      </c>
      <c r="J43" s="6">
        <v>0.248</v>
      </c>
      <c r="K43" s="6">
        <v>0.249</v>
      </c>
      <c r="L43" s="6">
        <v>0.255</v>
      </c>
      <c r="M43" s="6" t="s">
        <v>21</v>
      </c>
    </row>
    <row r="44" spans="1:15">
      <c r="A44" s="3" t="s">
        <v>19</v>
      </c>
      <c r="B44" s="4">
        <v>1.27</v>
      </c>
      <c r="C44" s="4" t="s">
        <v>13</v>
      </c>
      <c r="D44" s="5">
        <v>8.18</v>
      </c>
      <c r="E44" s="5" t="s">
        <v>14</v>
      </c>
      <c r="F44" s="4">
        <v>1.28</v>
      </c>
      <c r="G44" s="4">
        <v>1.25</v>
      </c>
      <c r="H44" s="4">
        <v>1.23</v>
      </c>
      <c r="I44" s="4" t="s">
        <v>20</v>
      </c>
      <c r="J44" s="6">
        <v>0.36799999999999999</v>
      </c>
      <c r="K44" s="6">
        <v>0.377</v>
      </c>
      <c r="L44" s="6">
        <v>0.38300000000000001</v>
      </c>
      <c r="M44" s="6" t="s">
        <v>21</v>
      </c>
    </row>
    <row r="46" spans="1:15">
      <c r="A46" s="1" t="s">
        <v>0</v>
      </c>
      <c r="B46" t="s">
        <v>52</v>
      </c>
    </row>
    <row r="47" spans="1:15" ht="54">
      <c r="A47" s="1" t="s">
        <v>1</v>
      </c>
      <c r="B47" s="2" t="s">
        <v>43</v>
      </c>
      <c r="C47" s="2" t="s">
        <v>46</v>
      </c>
      <c r="D47" s="2" t="s">
        <v>44</v>
      </c>
      <c r="E47" s="2" t="s">
        <v>45</v>
      </c>
    </row>
    <row r="48" spans="1:15" ht="36">
      <c r="A48" s="3"/>
      <c r="B48" s="4" t="s">
        <v>2</v>
      </c>
      <c r="C48" s="4" t="s">
        <v>3</v>
      </c>
      <c r="D48" s="5" t="s">
        <v>4</v>
      </c>
      <c r="E48" s="5" t="s">
        <v>5</v>
      </c>
      <c r="F48" s="4" t="s">
        <v>6</v>
      </c>
      <c r="G48" s="4" t="s">
        <v>7</v>
      </c>
      <c r="H48" s="4" t="s">
        <v>8</v>
      </c>
      <c r="I48" s="4" t="s">
        <v>5</v>
      </c>
      <c r="J48" s="6" t="s">
        <v>9</v>
      </c>
      <c r="K48" s="6" t="s">
        <v>10</v>
      </c>
      <c r="L48" s="6" t="s">
        <v>11</v>
      </c>
      <c r="M48" s="6" t="s">
        <v>5</v>
      </c>
    </row>
    <row r="49" spans="1:13">
      <c r="A49" s="3" t="s">
        <v>12</v>
      </c>
      <c r="B49" s="4">
        <v>12.68</v>
      </c>
      <c r="C49" s="4" t="s">
        <v>13</v>
      </c>
      <c r="D49" s="5">
        <v>8.18</v>
      </c>
      <c r="E49" s="5" t="s">
        <v>14</v>
      </c>
      <c r="F49" s="4">
        <v>1</v>
      </c>
      <c r="G49" s="4">
        <v>1.1499999999999999</v>
      </c>
      <c r="H49" s="4">
        <v>1.06</v>
      </c>
      <c r="I49" s="4" t="s">
        <v>20</v>
      </c>
      <c r="J49" s="6">
        <v>0.38200000000000001</v>
      </c>
      <c r="K49" s="6">
        <v>0.33200000000000002</v>
      </c>
      <c r="L49" s="6">
        <v>0.36</v>
      </c>
      <c r="M49" s="6" t="s">
        <v>21</v>
      </c>
    </row>
    <row r="50" spans="1:13">
      <c r="A50" s="3" t="s">
        <v>16</v>
      </c>
      <c r="B50" s="4">
        <v>3.6</v>
      </c>
      <c r="C50" s="4" t="s">
        <v>13</v>
      </c>
      <c r="D50" s="5">
        <v>0.13</v>
      </c>
      <c r="E50" s="5" t="s">
        <v>14</v>
      </c>
      <c r="F50" s="4">
        <v>11</v>
      </c>
      <c r="G50" s="4">
        <v>11.03</v>
      </c>
      <c r="H50" s="4">
        <v>11.03</v>
      </c>
      <c r="I50" s="4" t="s">
        <v>20</v>
      </c>
      <c r="J50" s="6">
        <v>3.5000000000000003E-2</v>
      </c>
      <c r="K50" s="6">
        <v>3.5000000000000003E-2</v>
      </c>
      <c r="L50" s="6">
        <v>3.5000000000000003E-2</v>
      </c>
      <c r="M50" s="6" t="s">
        <v>21</v>
      </c>
    </row>
    <row r="51" spans="1:13">
      <c r="A51" s="3" t="s">
        <v>17</v>
      </c>
      <c r="B51" s="4">
        <v>10.52</v>
      </c>
      <c r="C51" s="4" t="s">
        <v>13</v>
      </c>
      <c r="D51" s="5">
        <v>3.52</v>
      </c>
      <c r="E51" s="5" t="s">
        <v>14</v>
      </c>
      <c r="F51" s="4">
        <v>1.44</v>
      </c>
      <c r="G51" s="4">
        <v>1.53</v>
      </c>
      <c r="H51" s="4">
        <v>1.56</v>
      </c>
      <c r="I51" s="4" t="s">
        <v>20</v>
      </c>
      <c r="J51" s="6">
        <v>0.26500000000000001</v>
      </c>
      <c r="K51" s="6">
        <v>0.25</v>
      </c>
      <c r="L51" s="6">
        <v>0.245</v>
      </c>
      <c r="M51" s="6" t="s">
        <v>21</v>
      </c>
    </row>
    <row r="52" spans="1:13">
      <c r="A52" s="3" t="s">
        <v>18</v>
      </c>
      <c r="B52" s="4">
        <v>6.34</v>
      </c>
      <c r="C52" s="4" t="s">
        <v>13</v>
      </c>
      <c r="D52" s="5">
        <v>1.04</v>
      </c>
      <c r="E52" s="5" t="s">
        <v>14</v>
      </c>
      <c r="F52" s="4">
        <v>3.16</v>
      </c>
      <c r="G52" s="4">
        <v>3.07</v>
      </c>
      <c r="H52" s="4">
        <v>2.91</v>
      </c>
      <c r="I52" s="4" t="s">
        <v>20</v>
      </c>
      <c r="J52" s="6">
        <v>0.121</v>
      </c>
      <c r="K52" s="6">
        <v>0.124</v>
      </c>
      <c r="L52" s="6">
        <v>0.13100000000000001</v>
      </c>
      <c r="M52" s="6" t="s">
        <v>21</v>
      </c>
    </row>
    <row r="53" spans="1:13">
      <c r="A53" s="3" t="s">
        <v>19</v>
      </c>
      <c r="B53" s="4">
        <v>4.8499999999999996</v>
      </c>
      <c r="C53" s="4" t="s">
        <v>13</v>
      </c>
      <c r="D53" s="5">
        <v>0.42</v>
      </c>
      <c r="E53" s="5" t="s">
        <v>14</v>
      </c>
      <c r="F53" s="4">
        <v>5</v>
      </c>
      <c r="G53" s="4">
        <v>5.0599999999999996</v>
      </c>
      <c r="H53" s="4">
        <v>5.16</v>
      </c>
      <c r="I53" s="4" t="s">
        <v>20</v>
      </c>
      <c r="J53" s="6">
        <v>7.5999999999999998E-2</v>
      </c>
      <c r="K53" s="6">
        <v>7.4999999999999997E-2</v>
      </c>
      <c r="L53" s="6">
        <v>7.3999999999999996E-2</v>
      </c>
      <c r="M53" s="6" t="s">
        <v>21</v>
      </c>
    </row>
    <row r="55" spans="1:13" ht="36">
      <c r="A55" s="1" t="s">
        <v>0</v>
      </c>
      <c r="B55" s="2" t="s">
        <v>47</v>
      </c>
    </row>
    <row r="56" spans="1:13" ht="36">
      <c r="A56" s="1" t="s">
        <v>1</v>
      </c>
      <c r="B56" s="2" t="s">
        <v>48</v>
      </c>
      <c r="C56" s="2" t="s">
        <v>49</v>
      </c>
      <c r="D56" s="2" t="s">
        <v>50</v>
      </c>
      <c r="E56" s="2" t="s">
        <v>51</v>
      </c>
    </row>
    <row r="57" spans="1:13" ht="36">
      <c r="A57" s="3"/>
      <c r="B57" s="4" t="s">
        <v>2</v>
      </c>
      <c r="C57" s="4" t="s">
        <v>3</v>
      </c>
      <c r="D57" s="5" t="s">
        <v>4</v>
      </c>
      <c r="E57" s="5" t="s">
        <v>5</v>
      </c>
      <c r="F57" s="4" t="s">
        <v>6</v>
      </c>
      <c r="G57" s="4" t="s">
        <v>7</v>
      </c>
      <c r="H57" s="4" t="s">
        <v>8</v>
      </c>
      <c r="I57" s="4" t="s">
        <v>5</v>
      </c>
      <c r="J57" s="6" t="s">
        <v>9</v>
      </c>
      <c r="K57" s="6" t="s">
        <v>10</v>
      </c>
      <c r="L57" s="6" t="s">
        <v>11</v>
      </c>
      <c r="M57" s="6" t="s">
        <v>5</v>
      </c>
    </row>
    <row r="58" spans="1:13">
      <c r="A58" s="3" t="s">
        <v>12</v>
      </c>
      <c r="B58" s="4">
        <v>0.68</v>
      </c>
      <c r="C58" s="4" t="s">
        <v>13</v>
      </c>
      <c r="D58" s="5">
        <v>8.18</v>
      </c>
      <c r="E58" s="5" t="s">
        <v>14</v>
      </c>
      <c r="F58" s="4">
        <v>1.1200000000000001</v>
      </c>
      <c r="G58" s="4">
        <v>1.37</v>
      </c>
      <c r="H58" s="4">
        <v>1.34</v>
      </c>
      <c r="I58" s="4" t="s">
        <v>20</v>
      </c>
      <c r="J58" s="6">
        <f>38/1.12</f>
        <v>33.928571428571423</v>
      </c>
      <c r="K58" s="6">
        <f>38/1.37</f>
        <v>27.737226277372262</v>
      </c>
      <c r="L58" s="6">
        <f>38/1.34</f>
        <v>28.35820895522388</v>
      </c>
      <c r="M58" s="6" t="s">
        <v>22</v>
      </c>
    </row>
    <row r="59" spans="1:13">
      <c r="A59" s="3" t="s">
        <v>16</v>
      </c>
      <c r="B59" s="4">
        <v>0.52</v>
      </c>
      <c r="C59" s="4" t="s">
        <v>13</v>
      </c>
      <c r="D59" s="5">
        <v>3.51</v>
      </c>
      <c r="E59" s="5" t="s">
        <v>14</v>
      </c>
      <c r="F59" s="4">
        <v>1.94</v>
      </c>
      <c r="G59" s="4">
        <v>2</v>
      </c>
      <c r="H59" s="4">
        <v>1.84</v>
      </c>
      <c r="I59" s="4" t="s">
        <v>20</v>
      </c>
      <c r="J59" s="6">
        <f>38/1.94</f>
        <v>19.587628865979383</v>
      </c>
      <c r="K59" s="6">
        <f>38/2</f>
        <v>19</v>
      </c>
      <c r="L59" s="6">
        <f>38/1.84</f>
        <v>20.652173913043477</v>
      </c>
      <c r="M59" s="6" t="s">
        <v>22</v>
      </c>
    </row>
    <row r="60" spans="1:13">
      <c r="A60" s="3" t="s">
        <v>17</v>
      </c>
      <c r="B60" s="4">
        <v>0.34</v>
      </c>
      <c r="C60" s="4" t="s">
        <v>13</v>
      </c>
      <c r="D60" s="5">
        <v>1.02</v>
      </c>
      <c r="E60" s="5" t="s">
        <v>14</v>
      </c>
      <c r="F60" s="4">
        <v>3.35</v>
      </c>
      <c r="G60" s="4">
        <v>3.5</v>
      </c>
      <c r="H60" s="4">
        <v>3.38</v>
      </c>
      <c r="I60" s="4" t="s">
        <v>20</v>
      </c>
      <c r="J60" s="6">
        <f>38/3.35</f>
        <v>11.343283582089551</v>
      </c>
      <c r="K60" s="6">
        <f>38/3.5</f>
        <v>10.857142857142858</v>
      </c>
      <c r="L60" s="6">
        <f>38/3.38</f>
        <v>11.242603550295858</v>
      </c>
      <c r="M60" s="6" t="s">
        <v>22</v>
      </c>
    </row>
    <row r="61" spans="1:13">
      <c r="A61" s="3" t="s">
        <v>18</v>
      </c>
      <c r="B61" s="4">
        <v>0.75</v>
      </c>
      <c r="C61" s="4" t="s">
        <v>13</v>
      </c>
      <c r="D61" s="5">
        <v>0.42</v>
      </c>
      <c r="E61" s="5" t="s">
        <v>14</v>
      </c>
      <c r="F61" s="4">
        <v>5.78</v>
      </c>
      <c r="G61" s="4">
        <v>5.41</v>
      </c>
      <c r="H61" s="4">
        <v>5.18</v>
      </c>
      <c r="I61" s="4" t="s">
        <v>20</v>
      </c>
      <c r="J61" s="6">
        <f>38/5.78</f>
        <v>6.5743944636678195</v>
      </c>
      <c r="K61" s="6">
        <f>38/5.41</f>
        <v>7.0240295748613679</v>
      </c>
      <c r="L61" s="6">
        <f>38/5.18</f>
        <v>7.3359073359073363</v>
      </c>
      <c r="M61" s="6" t="s">
        <v>22</v>
      </c>
    </row>
    <row r="62" spans="1:13">
      <c r="A62" s="3" t="s">
        <v>19</v>
      </c>
      <c r="B62" s="4">
        <v>0.16</v>
      </c>
      <c r="C62" s="4" t="s">
        <v>13</v>
      </c>
      <c r="D62" s="5">
        <v>0.12</v>
      </c>
      <c r="E62" s="5" t="s">
        <v>14</v>
      </c>
      <c r="F62" s="4">
        <v>11.28</v>
      </c>
      <c r="G62" s="4">
        <v>10.9</v>
      </c>
      <c r="H62" s="4">
        <v>11.25</v>
      </c>
      <c r="I62" s="4" t="s">
        <v>20</v>
      </c>
      <c r="J62" s="6">
        <f>38/11.28</f>
        <v>3.3687943262411348</v>
      </c>
      <c r="K62" s="6">
        <f>38/10.9</f>
        <v>3.4862385321100917</v>
      </c>
      <c r="L62" s="6">
        <f>38/11.25</f>
        <v>3.3777777777777778</v>
      </c>
      <c r="M62" s="6" t="s">
        <v>22</v>
      </c>
    </row>
    <row r="64" spans="1:13" ht="36">
      <c r="A64" s="1" t="s">
        <v>0</v>
      </c>
      <c r="B64" s="2" t="s">
        <v>53</v>
      </c>
    </row>
    <row r="65" spans="1:13" ht="36">
      <c r="A65" s="1" t="s">
        <v>1</v>
      </c>
      <c r="B65" s="2" t="s">
        <v>54</v>
      </c>
    </row>
    <row r="66" spans="1:13" ht="36">
      <c r="A66" s="3"/>
      <c r="B66" s="4" t="s">
        <v>2</v>
      </c>
      <c r="C66" s="4" t="s">
        <v>3</v>
      </c>
      <c r="D66" s="5" t="s">
        <v>4</v>
      </c>
      <c r="E66" s="5" t="s">
        <v>5</v>
      </c>
      <c r="F66" s="4" t="s">
        <v>6</v>
      </c>
      <c r="G66" s="4" t="s">
        <v>7</v>
      </c>
      <c r="H66" s="4" t="s">
        <v>8</v>
      </c>
      <c r="I66" s="4" t="s">
        <v>5</v>
      </c>
      <c r="J66" s="6" t="s">
        <v>9</v>
      </c>
      <c r="K66" s="6" t="s">
        <v>10</v>
      </c>
      <c r="L66" s="6" t="s">
        <v>11</v>
      </c>
      <c r="M66" s="6" t="s">
        <v>5</v>
      </c>
    </row>
    <row r="67" spans="1:13">
      <c r="A67" s="3" t="s">
        <v>12</v>
      </c>
      <c r="B67" s="4">
        <v>3.15</v>
      </c>
      <c r="C67" s="4" t="s">
        <v>13</v>
      </c>
      <c r="D67" s="5">
        <v>0.1</v>
      </c>
      <c r="E67" s="5" t="s">
        <v>14</v>
      </c>
      <c r="F67" s="4">
        <v>12.7</v>
      </c>
      <c r="G67" s="4">
        <v>11.1</v>
      </c>
      <c r="H67" s="4">
        <v>10.9</v>
      </c>
      <c r="I67" s="4" t="s">
        <v>20</v>
      </c>
      <c r="J67" s="6">
        <v>30.08</v>
      </c>
      <c r="K67" s="6">
        <v>34.409999999999997</v>
      </c>
      <c r="L67" s="6">
        <v>34.409999999999997</v>
      </c>
      <c r="M67" s="6" t="s">
        <v>24</v>
      </c>
    </row>
    <row r="68" spans="1:13">
      <c r="A68" s="3" t="s">
        <v>16</v>
      </c>
      <c r="B68" s="4">
        <v>4.74</v>
      </c>
      <c r="C68" s="4" t="s">
        <v>13</v>
      </c>
      <c r="D68" s="5">
        <v>0.4</v>
      </c>
      <c r="E68" s="5" t="s">
        <v>14</v>
      </c>
      <c r="F68" s="4">
        <v>5.4</v>
      </c>
      <c r="G68" s="4">
        <v>5.3</v>
      </c>
      <c r="H68" s="4">
        <v>5.3</v>
      </c>
      <c r="I68" s="4" t="s">
        <v>20</v>
      </c>
      <c r="J68" s="6">
        <v>70.09</v>
      </c>
      <c r="K68" s="6">
        <v>72.08</v>
      </c>
      <c r="L68" s="6">
        <v>72.08</v>
      </c>
      <c r="M68" s="6" t="s">
        <v>24</v>
      </c>
    </row>
    <row r="69" spans="1:13">
      <c r="A69" s="3" t="s">
        <v>17</v>
      </c>
      <c r="B69" s="4">
        <v>6.35</v>
      </c>
      <c r="C69" s="4" t="s">
        <v>13</v>
      </c>
      <c r="D69" s="5">
        <v>1</v>
      </c>
      <c r="E69" s="5" t="s">
        <v>14</v>
      </c>
      <c r="F69" s="4">
        <v>3.5</v>
      </c>
      <c r="G69" s="4">
        <v>3</v>
      </c>
      <c r="H69" s="4">
        <v>3.4</v>
      </c>
      <c r="I69" s="4" t="s">
        <v>20</v>
      </c>
      <c r="J69" s="6">
        <v>107.61</v>
      </c>
      <c r="K69" s="6">
        <v>125.25</v>
      </c>
      <c r="L69" s="6">
        <v>112.35</v>
      </c>
      <c r="M69" s="6" t="s">
        <v>24</v>
      </c>
    </row>
    <row r="70" spans="1:13">
      <c r="A70" s="3" t="s">
        <v>18</v>
      </c>
      <c r="B70" s="4">
        <v>9.52</v>
      </c>
      <c r="C70" s="4" t="s">
        <v>13</v>
      </c>
      <c r="D70" s="5">
        <v>3.5</v>
      </c>
      <c r="E70" s="5" t="s">
        <v>14</v>
      </c>
      <c r="F70" s="4">
        <v>1.6</v>
      </c>
      <c r="G70" s="4">
        <v>1.5</v>
      </c>
      <c r="H70" s="4">
        <v>1.7</v>
      </c>
      <c r="I70" s="4" t="s">
        <v>20</v>
      </c>
      <c r="J70" s="6">
        <v>238.75</v>
      </c>
      <c r="K70" s="6">
        <v>254.67</v>
      </c>
      <c r="L70" s="6">
        <v>224.71</v>
      </c>
      <c r="M70" s="6" t="s">
        <v>24</v>
      </c>
    </row>
    <row r="71" spans="1:13">
      <c r="A71" s="3" t="s">
        <v>19</v>
      </c>
      <c r="B71" s="4">
        <v>12.7</v>
      </c>
      <c r="C71" s="4" t="s">
        <v>13</v>
      </c>
      <c r="D71" s="5">
        <v>8.1999999999999993</v>
      </c>
      <c r="E71" s="5" t="s">
        <v>14</v>
      </c>
      <c r="F71" s="4">
        <v>0.9</v>
      </c>
      <c r="G71" s="4">
        <v>1</v>
      </c>
      <c r="H71" s="4">
        <v>0.9</v>
      </c>
      <c r="I71" s="4" t="s">
        <v>20</v>
      </c>
      <c r="J71" s="6">
        <v>424.44</v>
      </c>
      <c r="K71" s="6">
        <v>382</v>
      </c>
      <c r="L71" s="6">
        <v>424.44</v>
      </c>
      <c r="M71" s="6" t="s">
        <v>24</v>
      </c>
    </row>
    <row r="73" spans="1:13" ht="54">
      <c r="A73" s="1" t="s">
        <v>0</v>
      </c>
      <c r="B73" s="2" t="s">
        <v>55</v>
      </c>
      <c r="C73" s="9"/>
      <c r="D73" s="9"/>
      <c r="E73" s="9"/>
      <c r="F73" s="9"/>
      <c r="G73" s="9"/>
      <c r="H73" s="9"/>
      <c r="I73" s="9"/>
      <c r="J73" s="9"/>
    </row>
    <row r="74" spans="1:13" ht="90">
      <c r="A74" s="1" t="s">
        <v>1</v>
      </c>
      <c r="B74" s="2" t="s">
        <v>56</v>
      </c>
      <c r="C74" s="10"/>
      <c r="D74" s="9"/>
      <c r="E74" s="10"/>
      <c r="F74" s="10"/>
      <c r="G74" s="10"/>
      <c r="H74" s="10"/>
      <c r="I74" s="10"/>
      <c r="J74" s="9"/>
    </row>
    <row r="75" spans="1:13" ht="36">
      <c r="A75" s="3"/>
      <c r="B75" s="4" t="s">
        <v>2</v>
      </c>
      <c r="C75" s="4" t="s">
        <v>3</v>
      </c>
      <c r="D75" s="5" t="s">
        <v>4</v>
      </c>
      <c r="E75" s="5" t="s">
        <v>5</v>
      </c>
      <c r="F75" s="4" t="s">
        <v>6</v>
      </c>
      <c r="G75" s="4" t="s">
        <v>7</v>
      </c>
      <c r="H75" s="4" t="s">
        <v>8</v>
      </c>
      <c r="I75" s="4" t="s">
        <v>5</v>
      </c>
      <c r="J75" s="6" t="s">
        <v>9</v>
      </c>
      <c r="K75" s="6" t="s">
        <v>10</v>
      </c>
      <c r="L75" s="6" t="s">
        <v>11</v>
      </c>
      <c r="M75" s="6" t="s">
        <v>5</v>
      </c>
    </row>
    <row r="76" spans="1:13">
      <c r="A76" s="3" t="s">
        <v>12</v>
      </c>
      <c r="B76" s="4">
        <v>3.13</v>
      </c>
      <c r="C76" s="4" t="s">
        <v>13</v>
      </c>
      <c r="D76" s="5">
        <v>0.13900000000000001</v>
      </c>
      <c r="E76" s="5" t="s">
        <v>14</v>
      </c>
      <c r="F76" s="4">
        <v>11.06</v>
      </c>
      <c r="G76" s="4">
        <v>11.09</v>
      </c>
      <c r="H76" s="4">
        <v>10.91</v>
      </c>
      <c r="I76" s="4" t="s">
        <v>20</v>
      </c>
      <c r="J76" s="6">
        <f>380/F76</f>
        <v>34.35804701627486</v>
      </c>
      <c r="K76" s="6">
        <f t="shared" ref="K76:L76" si="4">380/G76</f>
        <v>34.265103697024344</v>
      </c>
      <c r="L76" s="6">
        <f t="shared" si="4"/>
        <v>34.83043079743355</v>
      </c>
      <c r="M76" s="6" t="s">
        <v>24</v>
      </c>
    </row>
    <row r="77" spans="1:13">
      <c r="A77" s="3" t="s">
        <v>16</v>
      </c>
      <c r="B77" s="4">
        <v>4.72</v>
      </c>
      <c r="C77" s="4" t="s">
        <v>13</v>
      </c>
      <c r="D77" s="5">
        <v>1.4490000000000001</v>
      </c>
      <c r="E77" s="5" t="s">
        <v>14</v>
      </c>
      <c r="F77" s="4">
        <v>5</v>
      </c>
      <c r="G77" s="4">
        <v>5.09</v>
      </c>
      <c r="H77" s="4">
        <v>5.28</v>
      </c>
      <c r="I77" s="4" t="s">
        <v>20</v>
      </c>
      <c r="J77" s="6">
        <f t="shared" ref="J77:J80" si="5">380/F77</f>
        <v>76</v>
      </c>
      <c r="K77" s="6">
        <f t="shared" ref="K77:K80" si="6">380/G77</f>
        <v>74.656188605108056</v>
      </c>
      <c r="L77" s="6">
        <f t="shared" ref="L77:L80" si="7">380/H77</f>
        <v>71.969696969696969</v>
      </c>
      <c r="M77" s="6" t="s">
        <v>24</v>
      </c>
    </row>
    <row r="78" spans="1:13">
      <c r="A78" s="3" t="s">
        <v>17</v>
      </c>
      <c r="B78" s="4">
        <v>6.34</v>
      </c>
      <c r="C78" s="4" t="s">
        <v>13</v>
      </c>
      <c r="D78" s="5">
        <v>1.02</v>
      </c>
      <c r="E78" s="5" t="s">
        <v>14</v>
      </c>
      <c r="F78" s="4">
        <v>2.93</v>
      </c>
      <c r="G78" s="4">
        <v>3.12</v>
      </c>
      <c r="H78" s="4">
        <v>3.12</v>
      </c>
      <c r="I78" s="4" t="s">
        <v>20</v>
      </c>
      <c r="J78" s="6">
        <f t="shared" si="5"/>
        <v>129.69283276450511</v>
      </c>
      <c r="K78" s="6">
        <f t="shared" si="6"/>
        <v>121.7948717948718</v>
      </c>
      <c r="L78" s="6">
        <f t="shared" si="7"/>
        <v>121.7948717948718</v>
      </c>
      <c r="M78" s="6" t="s">
        <v>24</v>
      </c>
    </row>
    <row r="79" spans="1:13">
      <c r="A79" s="3" t="s">
        <v>18</v>
      </c>
      <c r="B79" s="4">
        <v>10.51</v>
      </c>
      <c r="C79" s="4" t="s">
        <v>13</v>
      </c>
      <c r="D79" s="5">
        <v>3.51</v>
      </c>
      <c r="E79" s="5" t="s">
        <v>14</v>
      </c>
      <c r="F79" s="4">
        <v>1.6</v>
      </c>
      <c r="G79" s="4">
        <v>1.54</v>
      </c>
      <c r="H79" s="4">
        <v>1.59</v>
      </c>
      <c r="I79" s="4" t="s">
        <v>20</v>
      </c>
      <c r="J79" s="6">
        <f t="shared" si="5"/>
        <v>237.5</v>
      </c>
      <c r="K79" s="6">
        <f t="shared" si="6"/>
        <v>246.75324675324674</v>
      </c>
      <c r="L79" s="6">
        <f t="shared" si="7"/>
        <v>238.99371069182388</v>
      </c>
      <c r="M79" s="6" t="s">
        <v>24</v>
      </c>
    </row>
    <row r="80" spans="1:13">
      <c r="A80" s="3" t="s">
        <v>19</v>
      </c>
      <c r="B80" s="4">
        <v>12.68</v>
      </c>
      <c r="C80" s="4" t="s">
        <v>13</v>
      </c>
      <c r="D80" s="5">
        <v>8.35</v>
      </c>
      <c r="E80" s="5" t="s">
        <v>14</v>
      </c>
      <c r="F80" s="4">
        <v>1</v>
      </c>
      <c r="G80" s="4">
        <v>0.97</v>
      </c>
      <c r="H80" s="4">
        <v>1.1299999999999999</v>
      </c>
      <c r="I80" s="4" t="s">
        <v>20</v>
      </c>
      <c r="J80" s="6">
        <f t="shared" si="5"/>
        <v>380</v>
      </c>
      <c r="K80" s="6">
        <f t="shared" si="6"/>
        <v>391.75257731958766</v>
      </c>
      <c r="L80" s="6">
        <f t="shared" si="7"/>
        <v>336.28318584070797</v>
      </c>
      <c r="M80" s="6" t="s">
        <v>24</v>
      </c>
    </row>
    <row r="82" spans="1:13" ht="36">
      <c r="A82" s="1" t="s">
        <v>0</v>
      </c>
      <c r="B82" s="2" t="s">
        <v>57</v>
      </c>
    </row>
    <row r="83" spans="1:13" ht="108">
      <c r="A83" s="1" t="s">
        <v>1</v>
      </c>
      <c r="B83" s="2" t="s">
        <v>58</v>
      </c>
    </row>
    <row r="84" spans="1:13" ht="36">
      <c r="A84" s="3"/>
      <c r="B84" s="4" t="s">
        <v>2</v>
      </c>
      <c r="C84" s="4" t="s">
        <v>3</v>
      </c>
      <c r="D84" s="5" t="s">
        <v>4</v>
      </c>
      <c r="E84" s="5" t="s">
        <v>5</v>
      </c>
      <c r="F84" s="4" t="s">
        <v>6</v>
      </c>
      <c r="G84" s="4" t="s">
        <v>7</v>
      </c>
      <c r="H84" s="4" t="s">
        <v>8</v>
      </c>
      <c r="I84" s="4" t="s">
        <v>5</v>
      </c>
      <c r="J84" s="6" t="s">
        <v>9</v>
      </c>
      <c r="K84" s="6" t="s">
        <v>10</v>
      </c>
      <c r="L84" s="6" t="s">
        <v>11</v>
      </c>
      <c r="M84" s="6" t="s">
        <v>5</v>
      </c>
    </row>
    <row r="85" spans="1:13">
      <c r="A85" s="3" t="s">
        <v>12</v>
      </c>
      <c r="B85" s="4">
        <v>3.16</v>
      </c>
      <c r="C85" s="4" t="s">
        <v>13</v>
      </c>
      <c r="D85" s="5">
        <v>0.13</v>
      </c>
      <c r="E85" s="5" t="s">
        <v>14</v>
      </c>
      <c r="F85" s="4">
        <v>11.15</v>
      </c>
      <c r="G85" s="4">
        <v>11.255000000000001</v>
      </c>
      <c r="H85" s="4">
        <v>11.31</v>
      </c>
      <c r="I85" s="4" t="s">
        <v>20</v>
      </c>
      <c r="J85" s="6">
        <v>3.4000000000000002E-2</v>
      </c>
      <c r="K85" s="6">
        <v>3.4000000000000002E-2</v>
      </c>
      <c r="L85" s="6">
        <v>3.4000000000000002E-2</v>
      </c>
      <c r="M85" s="6" t="s">
        <v>21</v>
      </c>
    </row>
    <row r="86" spans="1:13">
      <c r="A86" s="3" t="s">
        <v>16</v>
      </c>
      <c r="B86" s="4">
        <v>5.74</v>
      </c>
      <c r="C86" s="4" t="s">
        <v>13</v>
      </c>
      <c r="D86" s="5">
        <v>0.42</v>
      </c>
      <c r="E86" s="5" t="s">
        <v>14</v>
      </c>
      <c r="F86" s="4">
        <v>5.5</v>
      </c>
      <c r="G86" s="4">
        <v>5.28</v>
      </c>
      <c r="H86" s="4">
        <v>5.28</v>
      </c>
      <c r="I86" s="4" t="s">
        <v>20</v>
      </c>
      <c r="J86" s="6">
        <v>6.9000000000000006E-2</v>
      </c>
      <c r="K86" s="6">
        <v>7.1999999999999995E-2</v>
      </c>
      <c r="L86" s="6">
        <v>7.1999999999999995E-2</v>
      </c>
      <c r="M86" s="6" t="s">
        <v>21</v>
      </c>
    </row>
    <row r="87" spans="1:13">
      <c r="A87" s="3" t="s">
        <v>17</v>
      </c>
      <c r="B87" s="4">
        <v>6.34</v>
      </c>
      <c r="C87" s="4" t="s">
        <v>13</v>
      </c>
      <c r="D87" s="5">
        <v>1.2</v>
      </c>
      <c r="E87" s="5" t="s">
        <v>14</v>
      </c>
      <c r="F87" s="4">
        <v>3.16</v>
      </c>
      <c r="G87" s="4">
        <v>3.13</v>
      </c>
      <c r="H87" s="4">
        <v>3.12</v>
      </c>
      <c r="I87" s="4" t="s">
        <v>20</v>
      </c>
      <c r="J87" s="6">
        <v>0.12</v>
      </c>
      <c r="K87" s="6">
        <v>0.12</v>
      </c>
      <c r="L87" s="6">
        <v>0.12</v>
      </c>
      <c r="M87" s="6" t="s">
        <v>21</v>
      </c>
    </row>
    <row r="88" spans="1:13">
      <c r="A88" s="3" t="s">
        <v>18</v>
      </c>
      <c r="B88" s="4">
        <v>9.52</v>
      </c>
      <c r="C88" s="4" t="s">
        <v>13</v>
      </c>
      <c r="D88" s="5">
        <v>3.46</v>
      </c>
      <c r="E88" s="5" t="s">
        <v>14</v>
      </c>
      <c r="F88" s="4">
        <v>1.65</v>
      </c>
      <c r="G88" s="4">
        <v>1.65</v>
      </c>
      <c r="H88" s="4">
        <v>1.56</v>
      </c>
      <c r="I88" s="4" t="s">
        <v>20</v>
      </c>
      <c r="J88" s="6">
        <v>0.23</v>
      </c>
      <c r="K88" s="6">
        <v>0.23</v>
      </c>
      <c r="L88" s="6">
        <v>0.24</v>
      </c>
      <c r="M88" s="6" t="s">
        <v>21</v>
      </c>
    </row>
    <row r="89" spans="1:13">
      <c r="A89" s="3" t="s">
        <v>19</v>
      </c>
      <c r="B89" s="4">
        <v>12.7</v>
      </c>
      <c r="C89" s="4" t="s">
        <v>13</v>
      </c>
      <c r="D89" s="5">
        <v>8.18</v>
      </c>
      <c r="E89" s="5" t="s">
        <v>14</v>
      </c>
      <c r="F89" s="4">
        <v>1.04</v>
      </c>
      <c r="G89" s="4">
        <v>1.03</v>
      </c>
      <c r="H89" s="4">
        <v>1.1000000000000001</v>
      </c>
      <c r="I89" s="4" t="s">
        <v>20</v>
      </c>
      <c r="J89" s="6">
        <v>0.37</v>
      </c>
      <c r="K89" s="6">
        <v>0.37</v>
      </c>
      <c r="L89" s="6">
        <v>0.34</v>
      </c>
      <c r="M89" s="6" t="s">
        <v>21</v>
      </c>
    </row>
    <row r="91" spans="1:13" ht="36">
      <c r="A91" s="1" t="s">
        <v>0</v>
      </c>
      <c r="B91" s="2" t="s">
        <v>59</v>
      </c>
      <c r="C91" s="9"/>
      <c r="D91" s="9"/>
      <c r="E91" s="9"/>
      <c r="F91" s="9"/>
      <c r="G91" s="9"/>
      <c r="H91" s="9"/>
      <c r="I91" s="9"/>
      <c r="J91" s="9"/>
    </row>
    <row r="92" spans="1:13" ht="36">
      <c r="A92" s="1" t="s">
        <v>1</v>
      </c>
      <c r="B92" s="2" t="s">
        <v>60</v>
      </c>
      <c r="C92" s="10"/>
      <c r="D92" s="9"/>
      <c r="E92" s="10"/>
      <c r="F92" s="10"/>
      <c r="G92" s="10"/>
      <c r="H92" s="10"/>
      <c r="I92" s="10"/>
      <c r="J92" s="9"/>
    </row>
    <row r="93" spans="1:13" ht="36">
      <c r="A93" s="3"/>
      <c r="B93" s="4" t="s">
        <v>2</v>
      </c>
      <c r="C93" s="4" t="s">
        <v>3</v>
      </c>
      <c r="D93" s="5" t="s">
        <v>4</v>
      </c>
      <c r="E93" s="5" t="s">
        <v>5</v>
      </c>
      <c r="F93" s="4" t="s">
        <v>6</v>
      </c>
      <c r="G93" s="4" t="s">
        <v>7</v>
      </c>
      <c r="H93" s="4" t="s">
        <v>8</v>
      </c>
      <c r="I93" s="4" t="s">
        <v>5</v>
      </c>
      <c r="J93" s="6" t="s">
        <v>9</v>
      </c>
      <c r="K93" s="6" t="s">
        <v>10</v>
      </c>
      <c r="L93" s="6" t="s">
        <v>11</v>
      </c>
      <c r="M93" s="6" t="s">
        <v>5</v>
      </c>
    </row>
    <row r="94" spans="1:13">
      <c r="A94" s="3" t="s">
        <v>12</v>
      </c>
      <c r="B94" s="4">
        <v>1.27</v>
      </c>
      <c r="C94" s="4" t="s">
        <v>13</v>
      </c>
      <c r="D94" s="5">
        <v>8.35</v>
      </c>
      <c r="E94" s="5" t="s">
        <v>61</v>
      </c>
      <c r="F94" s="4">
        <v>1.04</v>
      </c>
      <c r="G94" s="4">
        <v>1.07</v>
      </c>
      <c r="H94" s="4">
        <v>1.03</v>
      </c>
      <c r="I94" s="4" t="s">
        <v>20</v>
      </c>
      <c r="J94" s="12">
        <f>38.2/F94</f>
        <v>36.730769230769234</v>
      </c>
      <c r="K94" s="12">
        <f>38.2/G94</f>
        <v>35.700934579439256</v>
      </c>
      <c r="L94" s="12">
        <f>38.2/H94</f>
        <v>37.087378640776699</v>
      </c>
      <c r="M94" s="6" t="s">
        <v>22</v>
      </c>
    </row>
    <row r="95" spans="1:13">
      <c r="A95" s="3" t="s">
        <v>16</v>
      </c>
      <c r="B95" s="4">
        <v>1.05</v>
      </c>
      <c r="C95" s="4" t="s">
        <v>13</v>
      </c>
      <c r="D95" s="5">
        <v>3.53</v>
      </c>
      <c r="E95" s="5" t="s">
        <v>61</v>
      </c>
      <c r="F95" s="4">
        <v>1.63</v>
      </c>
      <c r="G95" s="4">
        <v>1.53</v>
      </c>
      <c r="H95" s="4">
        <v>1.59</v>
      </c>
      <c r="I95" s="4" t="s">
        <v>20</v>
      </c>
      <c r="J95" s="12">
        <f t="shared" ref="J95:J98" si="8">38.2/F95</f>
        <v>23.435582822085895</v>
      </c>
      <c r="K95" s="12">
        <f t="shared" ref="K95:K98" si="9">38.2/G95</f>
        <v>24.967320261437909</v>
      </c>
      <c r="L95" s="12">
        <f t="shared" ref="L95:L98" si="10">38.2/H95</f>
        <v>24.025157232704402</v>
      </c>
      <c r="M95" s="6" t="s">
        <v>22</v>
      </c>
    </row>
    <row r="96" spans="1:13">
      <c r="A96" s="3" t="s">
        <v>17</v>
      </c>
      <c r="B96" s="4">
        <v>0.63400000000000001</v>
      </c>
      <c r="C96" s="4" t="s">
        <v>13</v>
      </c>
      <c r="D96" s="5">
        <v>1.03</v>
      </c>
      <c r="E96" s="5" t="s">
        <v>61</v>
      </c>
      <c r="F96" s="4">
        <v>3.25</v>
      </c>
      <c r="G96" s="4">
        <v>3.31</v>
      </c>
      <c r="H96" s="4">
        <v>3.22</v>
      </c>
      <c r="I96" s="4" t="s">
        <v>20</v>
      </c>
      <c r="J96" s="12">
        <f t="shared" si="8"/>
        <v>11.753846153846155</v>
      </c>
      <c r="K96" s="12">
        <f t="shared" si="9"/>
        <v>11.540785498489427</v>
      </c>
      <c r="L96" s="12">
        <f t="shared" si="10"/>
        <v>11.863354037267081</v>
      </c>
      <c r="M96" s="6" t="s">
        <v>22</v>
      </c>
    </row>
    <row r="97" spans="1:16">
      <c r="A97" s="3" t="s">
        <v>18</v>
      </c>
      <c r="B97" s="4">
        <v>0.47599999999999998</v>
      </c>
      <c r="C97" s="4" t="s">
        <v>13</v>
      </c>
      <c r="D97" s="5">
        <v>0.44</v>
      </c>
      <c r="E97" s="5" t="s">
        <v>61</v>
      </c>
      <c r="F97" s="4">
        <v>5.41</v>
      </c>
      <c r="G97" s="4">
        <v>5.44</v>
      </c>
      <c r="H97" s="4">
        <v>5.34</v>
      </c>
      <c r="I97" s="4" t="s">
        <v>20</v>
      </c>
      <c r="J97" s="12">
        <f t="shared" si="8"/>
        <v>7.0609981515711651</v>
      </c>
      <c r="K97" s="12">
        <f t="shared" si="9"/>
        <v>7.0220588235294121</v>
      </c>
      <c r="L97" s="12">
        <f t="shared" si="10"/>
        <v>7.153558052434458</v>
      </c>
      <c r="M97" s="6" t="s">
        <v>22</v>
      </c>
    </row>
    <row r="98" spans="1:16">
      <c r="A98" s="3" t="s">
        <v>19</v>
      </c>
      <c r="B98" s="4">
        <v>0.314</v>
      </c>
      <c r="C98" s="4" t="s">
        <v>13</v>
      </c>
      <c r="D98" s="5">
        <v>0.13</v>
      </c>
      <c r="E98" s="5" t="s">
        <v>61</v>
      </c>
      <c r="F98" s="4">
        <v>11.34</v>
      </c>
      <c r="G98" s="4">
        <v>11.34</v>
      </c>
      <c r="H98" s="4">
        <v>11.31</v>
      </c>
      <c r="I98" s="4" t="s">
        <v>20</v>
      </c>
      <c r="J98" s="12">
        <f t="shared" si="8"/>
        <v>3.3686067019400356</v>
      </c>
      <c r="K98" s="12">
        <f t="shared" si="9"/>
        <v>3.3686067019400356</v>
      </c>
      <c r="L98" s="12">
        <f t="shared" si="10"/>
        <v>3.3775419982316537</v>
      </c>
      <c r="M98" s="6" t="s">
        <v>22</v>
      </c>
    </row>
    <row r="99" spans="1:16">
      <c r="A99" s="2"/>
      <c r="K99" s="1"/>
      <c r="L99" s="1"/>
      <c r="M99" s="1"/>
    </row>
    <row r="100" spans="1:16">
      <c r="A100" s="4" t="s">
        <v>2</v>
      </c>
      <c r="K100" s="1"/>
      <c r="L100" s="1" t="s">
        <v>62</v>
      </c>
      <c r="M100" s="1" t="s">
        <v>63</v>
      </c>
      <c r="N100" s="1" t="s">
        <v>64</v>
      </c>
      <c r="O100" s="14">
        <v>0.16</v>
      </c>
      <c r="P100" s="14">
        <v>0.84</v>
      </c>
    </row>
    <row r="101" spans="1:16">
      <c r="A101" s="4">
        <v>0.3</v>
      </c>
      <c r="B101" s="4">
        <v>0.318</v>
      </c>
      <c r="C101" s="2">
        <v>0.316</v>
      </c>
      <c r="D101" s="4">
        <v>0.31900000000000001</v>
      </c>
      <c r="E101" s="4">
        <v>0.1</v>
      </c>
      <c r="F101" s="2">
        <v>0.36</v>
      </c>
      <c r="G101" s="2">
        <v>0.32</v>
      </c>
      <c r="H101" s="2">
        <v>0.315</v>
      </c>
      <c r="I101" s="2">
        <v>0.313</v>
      </c>
      <c r="J101" s="2">
        <v>0.316</v>
      </c>
      <c r="K101" s="4">
        <v>0.314</v>
      </c>
      <c r="L101" s="13">
        <f>+AVERAGE(A101:K101)</f>
        <v>0.29918181818181816</v>
      </c>
      <c r="M101" s="13">
        <f>+STDEV(A101:K101)</f>
        <v>6.7660650575970843E-2</v>
      </c>
      <c r="N101" s="13">
        <f>+MEDIAN(A101:K101)</f>
        <v>0.316</v>
      </c>
      <c r="O101" s="1">
        <f>+PERCENTILE(A101:K101,0.16)</f>
        <v>0.30780000000000002</v>
      </c>
    </row>
    <row r="102" spans="1:16">
      <c r="A102" s="4">
        <v>0.5</v>
      </c>
      <c r="B102" s="4">
        <v>0.58199999999999996</v>
      </c>
      <c r="C102" s="2">
        <v>0.47499999999999998</v>
      </c>
      <c r="D102" s="4">
        <v>0.57899999999999996</v>
      </c>
      <c r="E102" s="4">
        <v>0.47</v>
      </c>
      <c r="F102" s="2">
        <v>0.48499999999999999</v>
      </c>
      <c r="G102" s="2">
        <v>0.68</v>
      </c>
      <c r="H102" s="2">
        <v>0.47400000000000003</v>
      </c>
      <c r="I102" s="2">
        <v>0.47199999999999998</v>
      </c>
      <c r="J102" s="2">
        <v>0.57400000000000007</v>
      </c>
      <c r="K102" s="4">
        <v>0.47599999999999998</v>
      </c>
      <c r="L102" s="13">
        <f t="shared" ref="L102:L105" si="11">+AVERAGE(A102:K102)</f>
        <v>0.52427272727272733</v>
      </c>
      <c r="M102" s="13">
        <f t="shared" ref="M102:M105" si="12">+STDEV(A102:K102)</f>
        <v>6.9387449742861582E-2</v>
      </c>
      <c r="N102" s="13">
        <f t="shared" ref="N102:N105" si="13">+MEDIAN(A102:K102)</f>
        <v>0.48499999999999999</v>
      </c>
      <c r="O102" s="1">
        <f t="shared" ref="O102:O105" si="14">+PERCENTILE(A102:K102,0.16)</f>
        <v>0.47320000000000001</v>
      </c>
    </row>
    <row r="103" spans="1:16">
      <c r="A103" s="4">
        <v>0.65</v>
      </c>
      <c r="B103" s="4">
        <v>0.63500000000000001</v>
      </c>
      <c r="C103" s="2">
        <v>0.93399999999999994</v>
      </c>
      <c r="D103" s="4">
        <v>0.63300000000000001</v>
      </c>
      <c r="E103" s="4">
        <v>0.63200000000000001</v>
      </c>
      <c r="F103" s="2">
        <v>0.63400000000000001</v>
      </c>
      <c r="G103" s="2">
        <v>1.04</v>
      </c>
      <c r="H103" s="2">
        <v>0.63500000000000001</v>
      </c>
      <c r="I103" s="2">
        <v>0.63400000000000001</v>
      </c>
      <c r="J103" s="2">
        <v>0.63400000000000001</v>
      </c>
      <c r="K103" s="4">
        <v>0.63400000000000001</v>
      </c>
      <c r="L103" s="13">
        <f t="shared" si="11"/>
        <v>0.69954545454545469</v>
      </c>
      <c r="M103" s="13">
        <f t="shared" si="12"/>
        <v>0.14416682256078425</v>
      </c>
      <c r="N103" s="13">
        <f t="shared" si="13"/>
        <v>0.63400000000000001</v>
      </c>
      <c r="O103" s="1">
        <f t="shared" si="14"/>
        <v>0.63360000000000005</v>
      </c>
    </row>
    <row r="104" spans="1:16">
      <c r="A104" s="4">
        <v>1.05</v>
      </c>
      <c r="B104" s="4">
        <v>1.53</v>
      </c>
      <c r="C104" s="2">
        <v>0.95099999999999996</v>
      </c>
      <c r="D104" s="4">
        <v>1.1519999999999999</v>
      </c>
      <c r="E104" s="4">
        <v>1.0509999999999999</v>
      </c>
      <c r="F104" s="2">
        <v>1.052</v>
      </c>
      <c r="G104" s="2">
        <v>1.36</v>
      </c>
      <c r="H104" s="2">
        <v>0.95199999999999996</v>
      </c>
      <c r="I104" s="2">
        <v>1.0509999999999999</v>
      </c>
      <c r="J104" s="2">
        <v>0.95199999999999996</v>
      </c>
      <c r="K104" s="4">
        <v>1.05</v>
      </c>
      <c r="L104" s="13">
        <f t="shared" si="11"/>
        <v>1.1046363636363636</v>
      </c>
      <c r="M104" s="13">
        <f t="shared" si="12"/>
        <v>0.18250549182272474</v>
      </c>
      <c r="N104" s="13">
        <f t="shared" si="13"/>
        <v>1.0509999999999999</v>
      </c>
      <c r="O104" s="1">
        <f t="shared" si="14"/>
        <v>0.95199999999999996</v>
      </c>
    </row>
    <row r="105" spans="1:16">
      <c r="A105" s="4">
        <v>1.27</v>
      </c>
      <c r="B105" s="4">
        <v>1.732</v>
      </c>
      <c r="C105" s="2">
        <v>1.268</v>
      </c>
      <c r="D105" s="4">
        <v>1.27</v>
      </c>
      <c r="E105" s="4">
        <v>1.27</v>
      </c>
      <c r="F105" s="2">
        <v>1.268</v>
      </c>
      <c r="G105" s="2">
        <v>1.5</v>
      </c>
      <c r="H105" s="2">
        <v>1.27</v>
      </c>
      <c r="I105" s="2">
        <v>1.268</v>
      </c>
      <c r="J105" s="2">
        <v>1.27</v>
      </c>
      <c r="K105" s="4">
        <v>1.27</v>
      </c>
      <c r="L105" s="13">
        <f t="shared" si="11"/>
        <v>1.3323636363636362</v>
      </c>
      <c r="M105" s="13">
        <f t="shared" si="12"/>
        <v>0.14952409352828397</v>
      </c>
      <c r="N105" s="13">
        <f t="shared" si="13"/>
        <v>1.27</v>
      </c>
      <c r="O105" s="1">
        <f t="shared" si="14"/>
        <v>1.268</v>
      </c>
    </row>
    <row r="106" spans="1:16">
      <c r="A106" s="2"/>
      <c r="K106" s="1"/>
      <c r="L106" s="1"/>
      <c r="M106" s="1"/>
    </row>
    <row r="107" spans="1:16">
      <c r="A107" s="2"/>
      <c r="B107" s="2" t="s">
        <v>65</v>
      </c>
      <c r="C107" s="2" t="s">
        <v>66</v>
      </c>
      <c r="D107" s="2" t="s">
        <v>67</v>
      </c>
      <c r="E107" s="2" t="s">
        <v>68</v>
      </c>
      <c r="F107" s="2" t="s">
        <v>69</v>
      </c>
      <c r="K107" s="1"/>
      <c r="L107" s="1"/>
      <c r="M107" s="1"/>
    </row>
    <row r="108" spans="1:16" ht="36">
      <c r="A108" s="1" t="s">
        <v>70</v>
      </c>
      <c r="B108" s="15">
        <v>0.29918181818181816</v>
      </c>
      <c r="C108" s="15">
        <v>0.52427272727272733</v>
      </c>
      <c r="D108" s="15">
        <v>0.69954545454545469</v>
      </c>
      <c r="E108" s="15">
        <v>1.1046363636363636</v>
      </c>
      <c r="F108" s="15">
        <v>1.3323636363636362</v>
      </c>
    </row>
    <row r="109" spans="1:16" ht="36">
      <c r="A109" s="1" t="s">
        <v>71</v>
      </c>
      <c r="B109" s="15">
        <v>6.7660650575970843E-2</v>
      </c>
      <c r="C109" s="15">
        <v>6.9387449742861582E-2</v>
      </c>
      <c r="D109" s="15">
        <v>0.14416682256078425</v>
      </c>
      <c r="E109" s="15">
        <v>0.18250549182272474</v>
      </c>
      <c r="F109" s="15">
        <v>0.14952409352828397</v>
      </c>
    </row>
    <row r="110" spans="1:16" ht="36">
      <c r="A110" s="1" t="s">
        <v>72</v>
      </c>
      <c r="B110" s="16">
        <v>3.3686067019400356</v>
      </c>
      <c r="C110" s="16">
        <v>7.0609981515711651</v>
      </c>
      <c r="D110" s="16">
        <v>11.753846153846155</v>
      </c>
      <c r="E110" s="16">
        <v>23.435582822085895</v>
      </c>
      <c r="F110" s="16">
        <v>36.730769230769234</v>
      </c>
    </row>
    <row r="111" spans="1:16">
      <c r="B111" s="16">
        <v>3.3686067019400356</v>
      </c>
      <c r="C111" s="16">
        <v>7.0220588235294121</v>
      </c>
      <c r="D111" s="16">
        <v>11.540785498489427</v>
      </c>
      <c r="E111" s="16">
        <v>24.967320261437909</v>
      </c>
      <c r="F111" s="16">
        <v>35.700934579439256</v>
      </c>
    </row>
    <row r="112" spans="1:16">
      <c r="B112" s="16">
        <v>3.3775419982316537</v>
      </c>
      <c r="C112" s="16">
        <v>7.153558052434458</v>
      </c>
      <c r="D112" s="16">
        <v>11.863354037267081</v>
      </c>
      <c r="E112" s="16">
        <v>24.025157232704402</v>
      </c>
      <c r="F112" s="16">
        <v>37.087378640776699</v>
      </c>
    </row>
    <row r="113" spans="2:13">
      <c r="B113" s="2">
        <v>3.4000000000000004</v>
      </c>
      <c r="C113" s="2">
        <v>6.9</v>
      </c>
      <c r="D113" s="2">
        <v>12</v>
      </c>
      <c r="E113" s="2">
        <v>23</v>
      </c>
      <c r="F113" s="2">
        <v>37</v>
      </c>
      <c r="M113" s="1"/>
    </row>
    <row r="114" spans="2:13">
      <c r="B114" s="2">
        <v>3.4000000000000004</v>
      </c>
      <c r="C114" s="2">
        <v>7.1999999999999993</v>
      </c>
      <c r="D114" s="2">
        <v>12</v>
      </c>
      <c r="E114" s="2">
        <v>23</v>
      </c>
      <c r="F114" s="2">
        <v>37</v>
      </c>
      <c r="M114" s="1"/>
    </row>
    <row r="115" spans="2:13">
      <c r="B115" s="2">
        <v>3.4000000000000004</v>
      </c>
      <c r="C115" s="2">
        <v>7.1999999999999993</v>
      </c>
      <c r="D115" s="2">
        <v>12</v>
      </c>
      <c r="E115" s="2">
        <v>24</v>
      </c>
      <c r="F115" s="2">
        <v>34</v>
      </c>
      <c r="M115" s="1"/>
    </row>
    <row r="116" spans="2:13">
      <c r="B116" s="16">
        <v>3.435804701627486</v>
      </c>
      <c r="C116" s="16">
        <v>7.6</v>
      </c>
      <c r="D116" s="16">
        <v>12.969283276450511</v>
      </c>
      <c r="E116" s="16">
        <v>23.75</v>
      </c>
      <c r="F116" s="16">
        <v>38</v>
      </c>
      <c r="M116" s="1"/>
    </row>
    <row r="117" spans="2:13">
      <c r="B117" s="16">
        <v>3.4265103697024344</v>
      </c>
      <c r="C117" s="16">
        <v>7.4656188605108058</v>
      </c>
      <c r="D117" s="16">
        <v>12.179487179487179</v>
      </c>
      <c r="E117" s="16">
        <v>24.675324675324674</v>
      </c>
      <c r="F117" s="16">
        <v>39.175257731958766</v>
      </c>
      <c r="M117" s="1"/>
    </row>
    <row r="118" spans="2:13">
      <c r="B118" s="16">
        <v>3.4830430797433549</v>
      </c>
      <c r="C118" s="16">
        <v>7.1969696969696972</v>
      </c>
      <c r="D118" s="16">
        <v>12.179487179487179</v>
      </c>
      <c r="E118" s="16">
        <v>23.899371069182386</v>
      </c>
      <c r="F118" s="16">
        <v>33.628318584070797</v>
      </c>
      <c r="M118" s="1"/>
    </row>
    <row r="119" spans="2:13">
      <c r="B119" s="16">
        <v>3.008</v>
      </c>
      <c r="C119" s="16">
        <v>7.0090000000000003</v>
      </c>
      <c r="D119" s="16">
        <v>10.760999999999999</v>
      </c>
      <c r="E119" s="16">
        <v>23.875</v>
      </c>
      <c r="F119" s="16">
        <v>42.444000000000003</v>
      </c>
      <c r="M119" s="1"/>
    </row>
    <row r="120" spans="2:13">
      <c r="B120" s="16">
        <v>3.4409999999999998</v>
      </c>
      <c r="C120" s="16">
        <v>7.2080000000000002</v>
      </c>
      <c r="D120" s="16">
        <v>12.525</v>
      </c>
      <c r="E120" s="16">
        <v>25.466999999999999</v>
      </c>
      <c r="F120" s="16">
        <v>38.200000000000003</v>
      </c>
      <c r="M120" s="1"/>
    </row>
    <row r="121" spans="2:13">
      <c r="B121" s="16">
        <v>3.4409999999999998</v>
      </c>
      <c r="C121" s="16">
        <v>7.2080000000000002</v>
      </c>
      <c r="D121" s="16">
        <v>11.234999999999999</v>
      </c>
      <c r="E121" s="16">
        <v>22.471</v>
      </c>
      <c r="F121" s="16">
        <v>42.444000000000003</v>
      </c>
      <c r="M121" s="1"/>
    </row>
    <row r="122" spans="2:13">
      <c r="B122" s="16">
        <v>3.3687943262411348</v>
      </c>
      <c r="C122" s="16">
        <v>6.5743944636678195</v>
      </c>
      <c r="D122" s="16">
        <v>11.343283582089551</v>
      </c>
      <c r="E122" s="16">
        <v>19.587628865979383</v>
      </c>
      <c r="F122" s="16">
        <v>33.928571428571423</v>
      </c>
      <c r="M122" s="1"/>
    </row>
    <row r="123" spans="2:13">
      <c r="B123" s="16">
        <v>3.4862385321100917</v>
      </c>
      <c r="C123" s="16">
        <v>7.0240295748613679</v>
      </c>
      <c r="D123" s="16">
        <v>10.857142857142858</v>
      </c>
      <c r="E123" s="16">
        <v>19</v>
      </c>
      <c r="F123" s="16">
        <v>27.737226277372262</v>
      </c>
      <c r="M123" s="1"/>
    </row>
    <row r="124" spans="2:13">
      <c r="B124" s="16">
        <v>3.3777777777777778</v>
      </c>
      <c r="C124" s="16">
        <v>7.3359073359073363</v>
      </c>
      <c r="D124" s="16">
        <v>11.242603550295858</v>
      </c>
      <c r="E124" s="16">
        <v>20.652173913043477</v>
      </c>
      <c r="F124" s="16">
        <v>28.35820895522388</v>
      </c>
      <c r="M124" s="1"/>
    </row>
    <row r="125" spans="2:13">
      <c r="B125" s="2">
        <v>3.5000000000000004</v>
      </c>
      <c r="C125" s="2">
        <v>7.6</v>
      </c>
      <c r="D125" s="2">
        <v>26.5</v>
      </c>
      <c r="E125" s="2">
        <v>12.1</v>
      </c>
      <c r="F125" s="2">
        <v>38.200000000000003</v>
      </c>
      <c r="M125" s="1"/>
    </row>
    <row r="126" spans="2:13">
      <c r="B126" s="2">
        <v>3.5000000000000004</v>
      </c>
      <c r="C126" s="2">
        <v>7.5</v>
      </c>
      <c r="D126" s="2">
        <v>25</v>
      </c>
      <c r="E126" s="2">
        <v>12.4</v>
      </c>
      <c r="F126" s="2">
        <v>33.200000000000003</v>
      </c>
      <c r="M126" s="1"/>
    </row>
    <row r="127" spans="2:13">
      <c r="B127" s="2">
        <v>3.5000000000000004</v>
      </c>
      <c r="C127" s="2">
        <v>7.3999999999999995</v>
      </c>
      <c r="D127" s="2">
        <v>24.5</v>
      </c>
      <c r="E127" s="2">
        <v>13.100000000000001</v>
      </c>
      <c r="F127" s="2">
        <v>36</v>
      </c>
      <c r="M127" s="1"/>
    </row>
    <row r="128" spans="2:13">
      <c r="B128" s="2">
        <v>3.5000000000000004</v>
      </c>
      <c r="C128" s="2">
        <v>7.6</v>
      </c>
      <c r="D128" s="2">
        <v>12.8</v>
      </c>
      <c r="E128" s="2">
        <v>24.8</v>
      </c>
      <c r="F128" s="2">
        <v>36.799999999999997</v>
      </c>
      <c r="M128" s="1"/>
    </row>
    <row r="129" spans="1:13">
      <c r="B129" s="2">
        <v>3.5000000000000004</v>
      </c>
      <c r="C129" s="2">
        <v>7.5</v>
      </c>
      <c r="D129" s="2">
        <v>12.9</v>
      </c>
      <c r="E129" s="2">
        <v>24.9</v>
      </c>
      <c r="F129" s="2">
        <v>37.700000000000003</v>
      </c>
      <c r="M129" s="1"/>
    </row>
    <row r="130" spans="1:13">
      <c r="B130" s="2">
        <v>3.5999999999999996</v>
      </c>
      <c r="C130" s="2">
        <v>7.3999999999999995</v>
      </c>
      <c r="D130" s="2">
        <v>12.7</v>
      </c>
      <c r="E130" s="2">
        <v>25.5</v>
      </c>
      <c r="F130" s="2">
        <v>38.299999999999997</v>
      </c>
      <c r="M130" s="1"/>
    </row>
    <row r="131" spans="1:13">
      <c r="B131" s="16">
        <v>3.35</v>
      </c>
      <c r="C131" s="16">
        <v>6.79</v>
      </c>
      <c r="D131" s="16">
        <v>11.34</v>
      </c>
      <c r="E131" s="16">
        <v>23.31</v>
      </c>
      <c r="F131" s="16">
        <v>39.18</v>
      </c>
      <c r="M131" s="1"/>
    </row>
    <row r="132" spans="1:13">
      <c r="B132" s="16">
        <v>3.17</v>
      </c>
      <c r="C132" s="16">
        <v>6.95</v>
      </c>
      <c r="D132" s="16">
        <v>11.28</v>
      </c>
      <c r="E132" s="16">
        <v>18.63</v>
      </c>
      <c r="F132" s="16">
        <v>42.2</v>
      </c>
      <c r="M132" s="1"/>
    </row>
    <row r="133" spans="1:13">
      <c r="B133" s="16">
        <v>3.28</v>
      </c>
      <c r="C133" s="16">
        <v>6.87</v>
      </c>
      <c r="D133" s="16">
        <v>12.06</v>
      </c>
      <c r="E133" s="16">
        <v>22.89</v>
      </c>
      <c r="F133" s="16">
        <v>39.18</v>
      </c>
      <c r="M133" s="1"/>
    </row>
    <row r="134" spans="1:13">
      <c r="B134" s="16">
        <v>3.4415584415584415</v>
      </c>
      <c r="C134" s="16">
        <v>5.3571428571428568</v>
      </c>
      <c r="D134" s="16">
        <v>10.357142857142856</v>
      </c>
      <c r="E134" s="16">
        <v>17.662337662337663</v>
      </c>
      <c r="F134" s="16">
        <v>37.240259740259738</v>
      </c>
      <c r="M134" s="1"/>
    </row>
    <row r="135" spans="1:13">
      <c r="B135" s="16">
        <v>3.4415584415584415</v>
      </c>
      <c r="C135" s="16">
        <v>5.2922077922077921</v>
      </c>
      <c r="D135" s="16">
        <v>10.616883116883116</v>
      </c>
      <c r="E135" s="16">
        <v>19.058441558441558</v>
      </c>
      <c r="F135" s="16">
        <v>36.818181818181813</v>
      </c>
      <c r="M135" s="1"/>
    </row>
    <row r="136" spans="1:13">
      <c r="B136" s="16">
        <v>3.7662337662337659</v>
      </c>
      <c r="C136" s="16">
        <v>5.1623376623376629</v>
      </c>
      <c r="D136" s="16">
        <v>10.357142857142856</v>
      </c>
      <c r="E136" s="16">
        <v>17.240259740259738</v>
      </c>
      <c r="F136" s="16">
        <v>37.824675324675326</v>
      </c>
      <c r="M136" s="1"/>
    </row>
    <row r="137" spans="1:13">
      <c r="B137" s="16">
        <v>3.32</v>
      </c>
      <c r="C137" s="16">
        <v>6.9</v>
      </c>
      <c r="D137" s="16">
        <v>11.76</v>
      </c>
      <c r="E137" s="16">
        <v>23.15</v>
      </c>
      <c r="F137" s="16">
        <v>36.409999999999997</v>
      </c>
      <c r="M137" s="1"/>
    </row>
    <row r="138" spans="1:13">
      <c r="B138" s="16">
        <v>3.29</v>
      </c>
      <c r="C138" s="16">
        <v>6.6</v>
      </c>
      <c r="D138" s="16">
        <v>12.02</v>
      </c>
      <c r="E138" s="16">
        <v>22.6</v>
      </c>
      <c r="F138" s="16">
        <v>36.409999999999997</v>
      </c>
      <c r="M138" s="1"/>
    </row>
    <row r="139" spans="1:13">
      <c r="B139" s="16">
        <v>3.26</v>
      </c>
      <c r="C139" s="16">
        <v>7.02</v>
      </c>
      <c r="D139" s="16">
        <v>12.21</v>
      </c>
      <c r="E139" s="16">
        <v>22.72</v>
      </c>
      <c r="F139" s="16">
        <v>34.4</v>
      </c>
      <c r="M139" s="1"/>
    </row>
    <row r="140" spans="1:13">
      <c r="B140" s="16">
        <v>3.26</v>
      </c>
      <c r="C140" s="16">
        <v>6.91</v>
      </c>
      <c r="D140" s="16">
        <v>11.91</v>
      </c>
      <c r="E140" s="16">
        <v>22.89</v>
      </c>
      <c r="F140" s="16">
        <v>35.85</v>
      </c>
      <c r="M140" s="1"/>
    </row>
    <row r="141" spans="1:13">
      <c r="B141" s="16">
        <v>3.28</v>
      </c>
      <c r="C141" s="16">
        <v>7.1</v>
      </c>
      <c r="D141" s="16">
        <v>11.48</v>
      </c>
      <c r="E141" s="16">
        <v>23.75</v>
      </c>
      <c r="F141" s="16">
        <v>36.89</v>
      </c>
      <c r="M141" s="1"/>
    </row>
    <row r="142" spans="1:13">
      <c r="B142" s="16">
        <v>3.29</v>
      </c>
      <c r="C142" s="16">
        <v>7.02</v>
      </c>
      <c r="D142" s="16">
        <v>12.3</v>
      </c>
      <c r="E142" s="16">
        <v>23.9</v>
      </c>
      <c r="F142" s="16">
        <v>36.54</v>
      </c>
      <c r="M142" s="1"/>
    </row>
    <row r="143" spans="1:13" ht="37" thickBot="1">
      <c r="A143" s="1" t="s">
        <v>62</v>
      </c>
      <c r="B143" s="15">
        <f>+AVERAGE(B110:B142)</f>
        <v>3.394917419353475</v>
      </c>
      <c r="C143" s="16">
        <f t="shared" ref="C143:F143" si="15">+AVERAGE(C110:C142)</f>
        <v>6.9736431294284964</v>
      </c>
      <c r="D143" s="16">
        <f t="shared" si="15"/>
        <v>12.986104307446197</v>
      </c>
      <c r="E143" s="16">
        <f t="shared" si="15"/>
        <v>21.7092908424484</v>
      </c>
      <c r="F143" s="16">
        <f t="shared" si="15"/>
        <v>36.684175221554526</v>
      </c>
      <c r="J143" s="2" t="s">
        <v>84</v>
      </c>
      <c r="K143" s="2" t="s">
        <v>85</v>
      </c>
      <c r="L143" s="2" t="s">
        <v>77</v>
      </c>
      <c r="M143" s="2" t="s">
        <v>78</v>
      </c>
    </row>
    <row r="144" spans="1:13" ht="19" thickBot="1">
      <c r="A144" s="1" t="s">
        <v>64</v>
      </c>
      <c r="B144" s="15">
        <f>+MEDIAN(B110:B142)</f>
        <v>3.4000000000000004</v>
      </c>
      <c r="C144" s="15">
        <f t="shared" ref="C144:F144" si="16">+MEDIAN(C110:C142)</f>
        <v>7.0609981515711651</v>
      </c>
      <c r="D144" s="15">
        <f t="shared" si="16"/>
        <v>12</v>
      </c>
      <c r="E144" s="15">
        <f t="shared" si="16"/>
        <v>23</v>
      </c>
      <c r="F144" s="15">
        <f t="shared" si="16"/>
        <v>36.89</v>
      </c>
      <c r="I144" s="19">
        <v>1</v>
      </c>
      <c r="J144" s="21">
        <v>0.29918181818181816</v>
      </c>
      <c r="K144" s="22">
        <v>3.4000000000000004</v>
      </c>
      <c r="L144" s="17">
        <f>1200*K144/100*J144/100</f>
        <v>0.12206618181818182</v>
      </c>
      <c r="M144" s="18">
        <f>9.81*(J144/100)^3*PI()*(7800-1200)/6</f>
        <v>9.0785639399640729E-4</v>
      </c>
    </row>
    <row r="145" spans="1:13" ht="19" thickBot="1">
      <c r="A145" s="1" t="s">
        <v>73</v>
      </c>
      <c r="B145" s="15">
        <f>+MAX(B110:B142)</f>
        <v>3.7662337662337659</v>
      </c>
      <c r="C145" s="15">
        <f t="shared" ref="C145:F145" si="17">+MAX(C110:C142)</f>
        <v>7.6</v>
      </c>
      <c r="D145" s="15">
        <f t="shared" si="17"/>
        <v>26.5</v>
      </c>
      <c r="E145" s="15">
        <f t="shared" si="17"/>
        <v>25.5</v>
      </c>
      <c r="F145" s="15">
        <f t="shared" si="17"/>
        <v>42.444000000000003</v>
      </c>
      <c r="I145" s="20">
        <v>2</v>
      </c>
      <c r="J145" s="21">
        <v>0.52427272727272733</v>
      </c>
      <c r="K145" s="22">
        <v>7.0609981515711651</v>
      </c>
      <c r="L145" s="17">
        <f t="shared" ref="L145:L148" si="18">1200*K145/100*J145/100</f>
        <v>0.44422665098302816</v>
      </c>
      <c r="M145" s="18">
        <f t="shared" ref="M145:M148" si="19">9.81*(J145/100)^3*PI()*(7800-1200)/6</f>
        <v>4.8852114236672128E-3</v>
      </c>
    </row>
    <row r="146" spans="1:13" ht="19" thickBot="1">
      <c r="A146" s="1" t="s">
        <v>74</v>
      </c>
      <c r="B146" s="15">
        <f>+MIN(B110:B142)</f>
        <v>3.008</v>
      </c>
      <c r="C146" s="15">
        <f t="shared" ref="C146:F146" si="20">+MIN(C110:C142)</f>
        <v>5.1623376623376629</v>
      </c>
      <c r="D146" s="15">
        <f t="shared" si="20"/>
        <v>10.357142857142856</v>
      </c>
      <c r="E146" s="15">
        <f t="shared" si="20"/>
        <v>12.1</v>
      </c>
      <c r="F146" s="15">
        <f t="shared" si="20"/>
        <v>27.737226277372262</v>
      </c>
      <c r="I146" s="20">
        <v>3</v>
      </c>
      <c r="J146" s="21">
        <v>0.69954545454545469</v>
      </c>
      <c r="K146" s="22">
        <v>12</v>
      </c>
      <c r="L146" s="17">
        <f t="shared" si="18"/>
        <v>1.0073454545454548</v>
      </c>
      <c r="M146" s="18">
        <f t="shared" si="19"/>
        <v>1.1605380452742413E-2</v>
      </c>
    </row>
    <row r="147" spans="1:13" ht="19" thickBot="1">
      <c r="A147" s="1" t="s">
        <v>75</v>
      </c>
      <c r="B147" s="15">
        <f>+PERCENTILE(B110:B142,0.16)</f>
        <v>3.2811999999999997</v>
      </c>
      <c r="C147" s="15">
        <f t="shared" ref="C147:F147" si="21">+PERCENTILE(C110:C142,0.16)</f>
        <v>6.7995999999999999</v>
      </c>
      <c r="D147" s="15">
        <f t="shared" si="21"/>
        <v>11.235912426035503</v>
      </c>
      <c r="E147" s="15">
        <f t="shared" si="21"/>
        <v>18.674399999999999</v>
      </c>
      <c r="F147" s="15">
        <f t="shared" si="21"/>
        <v>34.048000000000002</v>
      </c>
      <c r="I147" s="20">
        <v>4</v>
      </c>
      <c r="J147" s="21">
        <v>1.1046363636363636</v>
      </c>
      <c r="K147" s="22">
        <v>23</v>
      </c>
      <c r="L147" s="17">
        <f t="shared" si="18"/>
        <v>3.0487963636363635</v>
      </c>
      <c r="M147" s="18">
        <f t="shared" si="19"/>
        <v>4.5695093715566952E-2</v>
      </c>
    </row>
    <row r="148" spans="1:13" ht="19" thickBot="1">
      <c r="A148" s="1" t="s">
        <v>76</v>
      </c>
      <c r="B148" s="15">
        <f>+PERCENTILE(B110:B142,0.84)</f>
        <v>3.5000000000000004</v>
      </c>
      <c r="C148" s="15">
        <f t="shared" ref="C148:F148" si="22">+PERCENTILE(C110:C142,0.84)</f>
        <v>7.4577445972495093</v>
      </c>
      <c r="D148" s="15">
        <f t="shared" si="22"/>
        <v>12.788</v>
      </c>
      <c r="E148" s="15">
        <f t="shared" si="22"/>
        <v>24.597304582210242</v>
      </c>
      <c r="F148" s="15">
        <f t="shared" si="22"/>
        <v>39.070226804123713</v>
      </c>
      <c r="I148" s="20">
        <v>5</v>
      </c>
      <c r="J148" s="21">
        <v>1.3323636363636362</v>
      </c>
      <c r="K148" s="22">
        <v>36.89</v>
      </c>
      <c r="L148" s="17">
        <f t="shared" si="18"/>
        <v>5.8981073454545445</v>
      </c>
      <c r="M148" s="18">
        <f t="shared" si="19"/>
        <v>8.0182552764719306E-2</v>
      </c>
    </row>
    <row r="149" spans="1:13">
      <c r="A149" s="1" t="s">
        <v>63</v>
      </c>
      <c r="B149" s="15">
        <f>+STDEV(B110:B142)</f>
        <v>0.13205301708491818</v>
      </c>
      <c r="C149" s="15">
        <f t="shared" ref="C149:F149" si="23">+STDEV(C110:C142)</f>
        <v>0.60921460066458799</v>
      </c>
      <c r="D149" s="15">
        <f t="shared" si="23"/>
        <v>4.0314816509756124</v>
      </c>
      <c r="E149" s="15">
        <f t="shared" si="23"/>
        <v>3.6909232614679826</v>
      </c>
      <c r="F149" s="15">
        <f t="shared" si="23"/>
        <v>3.1653476573084882</v>
      </c>
    </row>
    <row r="150" spans="1:13">
      <c r="A150" s="1" t="s">
        <v>82</v>
      </c>
      <c r="B150" s="2">
        <f>+(B148-B147)/2</f>
        <v>0.10940000000000039</v>
      </c>
      <c r="C150" s="2">
        <f t="shared" ref="C150:F150" si="24">+(C148-C147)/2</f>
        <v>0.32907229862475473</v>
      </c>
      <c r="D150" s="2">
        <f t="shared" si="24"/>
        <v>0.77604378698224874</v>
      </c>
      <c r="E150" s="2">
        <f t="shared" si="24"/>
        <v>2.9614522911051218</v>
      </c>
      <c r="F150" s="2">
        <f t="shared" si="24"/>
        <v>2.5111134020618557</v>
      </c>
    </row>
    <row r="151" spans="1:13" ht="36">
      <c r="G151" s="2" t="s">
        <v>77</v>
      </c>
      <c r="I151" s="2" t="s">
        <v>79</v>
      </c>
      <c r="J151" s="2" t="s">
        <v>83</v>
      </c>
      <c r="K151" s="2" t="s">
        <v>80</v>
      </c>
      <c r="L151" s="2" t="s">
        <v>81</v>
      </c>
    </row>
    <row r="152" spans="1:13">
      <c r="G152" s="15">
        <f>+J152/100*J144/100*1200/1</f>
        <v>0.12206618181818181</v>
      </c>
      <c r="I152" s="16">
        <f>+PI()*(J144/2)^2</f>
        <v>7.0300801369782132E-2</v>
      </c>
      <c r="J152" s="16">
        <v>3.4000000000000004</v>
      </c>
      <c r="K152" s="15">
        <v>6.7660650575970843E-2</v>
      </c>
      <c r="L152" s="15">
        <v>0.13205301708491818</v>
      </c>
    </row>
    <row r="153" spans="1:13">
      <c r="G153" s="15">
        <f t="shared" ref="G153:G156" si="25">+J153/100*J145/100*1200/1</f>
        <v>0.44422665098302816</v>
      </c>
      <c r="I153" s="16">
        <f t="shared" ref="I153:I156" si="26">+PI()*(J145/2)^2</f>
        <v>0.21587602560612859</v>
      </c>
      <c r="J153" s="16">
        <v>7.0609981515711651</v>
      </c>
      <c r="K153" s="15">
        <v>6.9387449742861582E-2</v>
      </c>
      <c r="L153" s="15">
        <v>0.60921460066458799</v>
      </c>
    </row>
    <row r="154" spans="1:13">
      <c r="G154" s="15">
        <f t="shared" si="25"/>
        <v>1.0073454545454548</v>
      </c>
      <c r="I154" s="16">
        <f t="shared" si="26"/>
        <v>0.3843454635058447</v>
      </c>
      <c r="J154" s="16">
        <v>12</v>
      </c>
      <c r="K154" s="15">
        <v>0.14416682256078425</v>
      </c>
      <c r="L154" s="15">
        <v>4.0314816509756124</v>
      </c>
    </row>
    <row r="155" spans="1:13">
      <c r="G155" s="15">
        <f t="shared" si="25"/>
        <v>3.048796363636364</v>
      </c>
      <c r="I155" s="16">
        <f t="shared" si="26"/>
        <v>0.95835972179263251</v>
      </c>
      <c r="J155" s="16">
        <v>23</v>
      </c>
      <c r="K155" s="15">
        <v>0.18250549182272474</v>
      </c>
      <c r="L155" s="15">
        <v>3.6909232614679826</v>
      </c>
    </row>
    <row r="156" spans="1:13">
      <c r="G156" s="15">
        <f t="shared" si="25"/>
        <v>5.8981073454545445</v>
      </c>
      <c r="I156" s="16">
        <f t="shared" si="26"/>
        <v>1.3942332115308096</v>
      </c>
      <c r="J156" s="16">
        <v>36.89</v>
      </c>
      <c r="K156" s="15">
        <v>0.14952409352828397</v>
      </c>
      <c r="L156" s="15">
        <v>3.1653476573084882</v>
      </c>
    </row>
    <row r="163" spans="9:15">
      <c r="I163" s="2" t="s">
        <v>86</v>
      </c>
      <c r="J163" s="2" t="s">
        <v>87</v>
      </c>
      <c r="K163" s="1"/>
      <c r="L163" s="1" t="s">
        <v>88</v>
      </c>
      <c r="M163" s="1" t="s">
        <v>89</v>
      </c>
      <c r="N163" s="1" t="s">
        <v>90</v>
      </c>
      <c r="O163" s="1" t="s">
        <v>91</v>
      </c>
    </row>
    <row r="164" spans="9:15">
      <c r="I164" s="23">
        <f>4/3*PI()*(J144/100/2)^3*(7800-1200)*9.81</f>
        <v>9.0785639399640719E-4</v>
      </c>
      <c r="J164" s="2">
        <f>+J152*J144/100/100</f>
        <v>1.0172181818181818E-4</v>
      </c>
      <c r="L164" s="2">
        <v>6.7660650575970843E-2</v>
      </c>
      <c r="M164" s="15">
        <v>0.13205301708491818</v>
      </c>
      <c r="N164" s="1">
        <f>+SQRT((L164/J144)^2+(M164/J152)^2)*J164</f>
        <v>2.3341407578861126E-5</v>
      </c>
      <c r="O164" s="1">
        <f>+I164*SQRT(3)*L164/J144</f>
        <v>3.5561392305370325E-4</v>
      </c>
    </row>
    <row r="165" spans="9:15">
      <c r="I165" s="23">
        <f t="shared" ref="I165:I168" si="27">4/3*PI()*(J145/100/2)^3*(7800-1200)*9.81</f>
        <v>4.8852114236672128E-3</v>
      </c>
      <c r="J165" s="2">
        <f t="shared" ref="J165:J168" si="28">+J153*J145/100/100</f>
        <v>3.7018887581919015E-4</v>
      </c>
      <c r="L165" s="2">
        <v>6.9387449742861582E-2</v>
      </c>
      <c r="M165" s="15">
        <v>0.60921460066458799</v>
      </c>
      <c r="N165" s="1">
        <f t="shared" ref="N165:N168" si="29">+SQRT((L165/J145)^2+(M165/J153)^2)*J165</f>
        <v>5.8485782458593334E-5</v>
      </c>
      <c r="O165" s="1">
        <f t="shared" ref="O165:O168" si="30">+I165*SQRT(3)*L165/J145</f>
        <v>1.1198701039579883E-3</v>
      </c>
    </row>
    <row r="166" spans="9:15">
      <c r="I166" s="23">
        <f t="shared" si="27"/>
        <v>1.1605380452742413E-2</v>
      </c>
      <c r="J166" s="2">
        <f t="shared" si="28"/>
        <v>8.3945454545454557E-4</v>
      </c>
      <c r="L166" s="2">
        <v>0.14416682256078425</v>
      </c>
      <c r="M166" s="15">
        <v>4.0314816509756124</v>
      </c>
      <c r="N166" s="1">
        <f t="shared" si="29"/>
        <v>3.3085436100656996E-4</v>
      </c>
      <c r="O166" s="1">
        <f t="shared" si="30"/>
        <v>4.1425656272434412E-3</v>
      </c>
    </row>
    <row r="167" spans="9:15">
      <c r="I167" s="23">
        <f t="shared" si="27"/>
        <v>4.5695093715566945E-2</v>
      </c>
      <c r="J167" s="2">
        <f t="shared" si="28"/>
        <v>2.5406636363636366E-3</v>
      </c>
      <c r="L167" s="2">
        <v>0.18250549182272474</v>
      </c>
      <c r="M167" s="15">
        <v>3.6909232614679826</v>
      </c>
      <c r="N167" s="1">
        <f t="shared" si="29"/>
        <v>5.8517552743356043E-4</v>
      </c>
      <c r="O167" s="1">
        <f t="shared" si="30"/>
        <v>1.3076357982972728E-2</v>
      </c>
    </row>
    <row r="168" spans="9:15">
      <c r="I168" s="23">
        <f t="shared" si="27"/>
        <v>8.0182552764719292E-2</v>
      </c>
      <c r="J168" s="2">
        <f t="shared" si="28"/>
        <v>4.9150894545454543E-3</v>
      </c>
      <c r="L168" s="2">
        <v>0.14952409352828397</v>
      </c>
      <c r="M168" s="15">
        <v>3.1653476573084882</v>
      </c>
      <c r="N168" s="1">
        <f t="shared" si="29"/>
        <v>6.9434897018399956E-4</v>
      </c>
      <c r="O168" s="1">
        <f t="shared" si="30"/>
        <v>1.5585793330985387E-2</v>
      </c>
    </row>
  </sheetData>
  <sortState ref="G101:G105">
    <sortCondition ref="G101:G105"/>
  </sortState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Boss</dc:creator>
  <cp:lastModifiedBy>Emmanuel Boss</cp:lastModifiedBy>
  <cp:lastPrinted>2013-01-14T20:20:12Z</cp:lastPrinted>
  <dcterms:created xsi:type="dcterms:W3CDTF">2013-01-14T19:20:01Z</dcterms:created>
  <dcterms:modified xsi:type="dcterms:W3CDTF">2013-02-25T14:07:58Z</dcterms:modified>
</cp:coreProperties>
</file>