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180" windowHeight="8070" activeTab="2"/>
  </bookViews>
  <sheets>
    <sheet name="Sheet1" sheetId="1" r:id="rId1"/>
    <sheet name="both sides" sheetId="2" r:id="rId2"/>
    <sheet name="BEST" sheetId="4" r:id="rId3"/>
    <sheet name="Cork" sheetId="3" r:id="rId4"/>
  </sheets>
  <calcPr calcId="145621"/>
</workbook>
</file>

<file path=xl/calcChain.xml><?xml version="1.0" encoding="utf-8"?>
<calcChain xmlns="http://schemas.openxmlformats.org/spreadsheetml/2006/main">
  <c r="D128" i="4" l="1"/>
  <c r="D126" i="4" s="1"/>
  <c r="E126" i="4" s="1"/>
  <c r="C128" i="4"/>
  <c r="C123" i="4"/>
  <c r="E123" i="4" s="1"/>
  <c r="A71" i="4"/>
  <c r="K86" i="4"/>
  <c r="K103" i="4"/>
  <c r="H105" i="4"/>
  <c r="H103" i="4"/>
  <c r="H92" i="4"/>
  <c r="I92" i="4" s="1"/>
  <c r="H81" i="4"/>
  <c r="I81" i="4" s="1"/>
  <c r="H94" i="4"/>
  <c r="H83" i="4"/>
  <c r="G83" i="4"/>
  <c r="I83" i="4" s="1"/>
  <c r="G78" i="4"/>
  <c r="G94" i="4" s="1"/>
  <c r="H37" i="4"/>
  <c r="J37" i="4"/>
  <c r="G19" i="4"/>
  <c r="G18" i="4"/>
  <c r="C18" i="4"/>
  <c r="C19" i="4" s="1"/>
  <c r="H38" i="4" s="1"/>
  <c r="J38" i="4" s="1"/>
  <c r="J31" i="4"/>
  <c r="E33" i="4"/>
  <c r="E32" i="4"/>
  <c r="E31" i="4"/>
  <c r="E30" i="4"/>
  <c r="E29" i="4"/>
  <c r="E26" i="4"/>
  <c r="E35" i="4" s="1"/>
  <c r="H23" i="4"/>
  <c r="H25" i="4" s="1"/>
  <c r="J9" i="4"/>
  <c r="H52" i="4"/>
  <c r="G73" i="4"/>
  <c r="G75" i="4" s="1"/>
  <c r="C35" i="4"/>
  <c r="C17" i="4"/>
  <c r="G65" i="4"/>
  <c r="G59" i="4"/>
  <c r="G58" i="4"/>
  <c r="G56" i="4"/>
  <c r="G53" i="4"/>
  <c r="C16" i="4"/>
  <c r="C15" i="4"/>
  <c r="C21" i="3"/>
  <c r="E11" i="3"/>
  <c r="E10" i="3"/>
  <c r="H6" i="4"/>
  <c r="H8" i="4" s="1"/>
  <c r="H9" i="4" s="1"/>
  <c r="C6" i="4"/>
  <c r="C8" i="4" s="1"/>
  <c r="C9" i="4" s="1"/>
  <c r="E9" i="4" s="1"/>
  <c r="C59" i="4"/>
  <c r="C58" i="4"/>
  <c r="C56" i="4"/>
  <c r="C53" i="4"/>
  <c r="G42" i="4" s="1"/>
  <c r="F53" i="3"/>
  <c r="F52" i="3"/>
  <c r="F54" i="3" s="1"/>
  <c r="G49" i="3"/>
  <c r="F48" i="3"/>
  <c r="G47" i="3"/>
  <c r="F47" i="3"/>
  <c r="H43" i="3"/>
  <c r="H42" i="3"/>
  <c r="H33" i="3"/>
  <c r="F43" i="3"/>
  <c r="D35" i="3"/>
  <c r="C35" i="3"/>
  <c r="C37" i="3"/>
  <c r="H23" i="3"/>
  <c r="C23" i="3"/>
  <c r="H11" i="3"/>
  <c r="H34" i="3"/>
  <c r="H29" i="3"/>
  <c r="H31" i="3" s="1"/>
  <c r="C22" i="3" s="1"/>
  <c r="C15" i="3"/>
  <c r="H21" i="3"/>
  <c r="J41" i="2"/>
  <c r="J37" i="2"/>
  <c r="J39" i="2" s="1"/>
  <c r="J40" i="2" s="1"/>
  <c r="J42" i="2" s="1"/>
  <c r="J44" i="2" s="1"/>
  <c r="J45" i="2" s="1"/>
  <c r="J38" i="2"/>
  <c r="J36" i="2"/>
  <c r="I37" i="2"/>
  <c r="C37" i="2"/>
  <c r="C44" i="2" s="1"/>
  <c r="C45" i="2" s="1"/>
  <c r="J14" i="2"/>
  <c r="H15" i="2"/>
  <c r="E8" i="2"/>
  <c r="C14" i="2" s="1"/>
  <c r="H16" i="2"/>
  <c r="J13" i="2"/>
  <c r="J12" i="2"/>
  <c r="J10" i="2"/>
  <c r="D26" i="2"/>
  <c r="D27" i="2" s="1"/>
  <c r="D22" i="2"/>
  <c r="H21" i="2"/>
  <c r="H22" i="2" s="1"/>
  <c r="H23" i="2" s="1"/>
  <c r="E15" i="2"/>
  <c r="E13" i="2"/>
  <c r="A13" i="2"/>
  <c r="E12" i="2"/>
  <c r="E11" i="2"/>
  <c r="E10" i="2"/>
  <c r="J5" i="2"/>
  <c r="E5" i="2"/>
  <c r="D18" i="1"/>
  <c r="G27" i="1"/>
  <c r="H22" i="1"/>
  <c r="H23" i="1" s="1"/>
  <c r="H21" i="1"/>
  <c r="A14" i="1"/>
  <c r="A13" i="1"/>
  <c r="D26" i="1"/>
  <c r="D27" i="1" s="1"/>
  <c r="D22" i="1"/>
  <c r="J5" i="1"/>
  <c r="J10" i="1"/>
  <c r="C16" i="1"/>
  <c r="C18" i="1" s="1"/>
  <c r="E15" i="1"/>
  <c r="E14" i="1"/>
  <c r="E13" i="1"/>
  <c r="E12" i="1"/>
  <c r="E11" i="1"/>
  <c r="E10" i="1"/>
  <c r="E5" i="1"/>
  <c r="I84" i="4" l="1"/>
  <c r="I88" i="4" s="1"/>
  <c r="A14" i="2"/>
  <c r="E14" i="2"/>
  <c r="C16" i="2"/>
  <c r="C18" i="2" s="1"/>
  <c r="F19" i="2" s="1"/>
  <c r="D29" i="1"/>
  <c r="D29" i="2"/>
  <c r="D31" i="2" s="1"/>
  <c r="G60" i="4"/>
  <c r="G64" i="4" s="1"/>
  <c r="G66" i="4" s="1"/>
  <c r="G67" i="4" s="1"/>
  <c r="G41" i="4" s="1"/>
  <c r="G105" i="4"/>
  <c r="E16" i="2"/>
  <c r="H18" i="2" s="1"/>
  <c r="I105" i="4"/>
  <c r="I103" i="4"/>
  <c r="I94" i="4"/>
  <c r="I95" i="4" s="1"/>
  <c r="I99" i="4" s="1"/>
  <c r="J39" i="4"/>
  <c r="H26" i="4"/>
  <c r="G12" i="4"/>
  <c r="C61" i="4"/>
  <c r="G48" i="3"/>
  <c r="G50" i="3" s="1"/>
  <c r="D38" i="3"/>
  <c r="C38" i="3"/>
  <c r="C25" i="3"/>
  <c r="H22" i="3"/>
  <c r="H25" i="3" s="1"/>
  <c r="C38" i="2"/>
  <c r="C39" i="2" s="1"/>
  <c r="C40" i="2" s="1"/>
  <c r="C47" i="2" s="1"/>
  <c r="C49" i="2" s="1"/>
  <c r="C50" i="2" s="1"/>
  <c r="J16" i="2"/>
  <c r="E16" i="1"/>
  <c r="J15" i="1" s="1"/>
  <c r="H15" i="1" s="1"/>
  <c r="H16" i="1" s="1"/>
  <c r="H18" i="1" s="1"/>
  <c r="D31" i="1"/>
  <c r="J16" i="1" l="1"/>
  <c r="G27" i="2"/>
  <c r="J26" i="4"/>
  <c r="J35" i="4" s="1"/>
  <c r="J36" i="4" s="1"/>
  <c r="H35" i="4"/>
  <c r="H40" i="4" s="1"/>
  <c r="I106" i="4"/>
  <c r="I110" i="4" s="1"/>
  <c r="K45" i="4"/>
  <c r="C27" i="3"/>
  <c r="C29" i="3" s="1"/>
  <c r="C39" i="3"/>
  <c r="H37" i="3"/>
  <c r="G45" i="4" l="1"/>
  <c r="C63" i="4" s="1"/>
  <c r="C64" i="4" s="1"/>
  <c r="C65" i="4" s="1"/>
  <c r="C30" i="3"/>
  <c r="C40" i="3" s="1"/>
  <c r="F55" i="3"/>
</calcChain>
</file>

<file path=xl/sharedStrings.xml><?xml version="1.0" encoding="utf-8"?>
<sst xmlns="http://schemas.openxmlformats.org/spreadsheetml/2006/main" count="291" uniqueCount="172">
  <si>
    <t>Radiometer torque and flotation</t>
  </si>
  <si>
    <t>Old Setup</t>
  </si>
  <si>
    <t>Left Side</t>
  </si>
  <si>
    <t>radiometer out of water</t>
  </si>
  <si>
    <t>Mass</t>
  </si>
  <si>
    <t>Distance</t>
  </si>
  <si>
    <t>Right Side</t>
  </si>
  <si>
    <t>New Setup</t>
  </si>
  <si>
    <t>rubber boot and clamps</t>
  </si>
  <si>
    <t>T and L pvc</t>
  </si>
  <si>
    <t>7.6 cm two inch pipe</t>
  </si>
  <si>
    <t>10.5 cm four inch pipe</t>
  </si>
  <si>
    <t>Increase in Mass</t>
  </si>
  <si>
    <t>Mass (g)</t>
  </si>
  <si>
    <t>Distance (cm)</t>
  </si>
  <si>
    <t>Torque (g-cm)</t>
  </si>
  <si>
    <t>balancing weight</t>
  </si>
  <si>
    <t>Float</t>
  </si>
  <si>
    <t>depth</t>
  </si>
  <si>
    <t>inside rad</t>
  </si>
  <si>
    <t>outside rad</t>
  </si>
  <si>
    <t>inside area</t>
  </si>
  <si>
    <t>outside area</t>
  </si>
  <si>
    <t>difference in areas</t>
  </si>
  <si>
    <t>volume</t>
  </si>
  <si>
    <t>34.8 cm two inch pipe</t>
  </si>
  <si>
    <t>rad</t>
  </si>
  <si>
    <t>area</t>
  </si>
  <si>
    <t>Outside 2" pipe size dia</t>
  </si>
  <si>
    <t>So every cm of empty pipe displaces 28.58 g water, but weighs 14.18 grams, so get only 14.4 g buoyancy</t>
  </si>
  <si>
    <t>Would need 175 cm empty pipe to float extra weight.</t>
  </si>
  <si>
    <t>cm thickness of extra foam ring</t>
  </si>
  <si>
    <t>Sum</t>
  </si>
  <si>
    <t>if used sch 40</t>
  </si>
  <si>
    <t xml:space="preserve">schedule 40 </t>
  </si>
  <si>
    <t>total mass increase both sides</t>
  </si>
  <si>
    <t xml:space="preserve"> dia in</t>
  </si>
  <si>
    <t>dia cm</t>
  </si>
  <si>
    <t>take away volume</t>
  </si>
  <si>
    <t>width of center slot  cm</t>
  </si>
  <si>
    <t>width of buoy</t>
  </si>
  <si>
    <t>volume lost per cm</t>
  </si>
  <si>
    <t>volume per cm length</t>
  </si>
  <si>
    <t>net volume per cm length</t>
  </si>
  <si>
    <t>cm length needed for 3600</t>
  </si>
  <si>
    <t>in length needed</t>
  </si>
  <si>
    <t>Cylinder float</t>
  </si>
  <si>
    <t>thickness of foam needed cm</t>
  </si>
  <si>
    <t>in</t>
  </si>
  <si>
    <t>side flotation</t>
  </si>
  <si>
    <t>area per quarter</t>
  </si>
  <si>
    <t>total area</t>
  </si>
  <si>
    <t>missing middle area</t>
  </si>
  <si>
    <t>times 4</t>
  </si>
  <si>
    <t>Cork</t>
  </si>
  <si>
    <t>new shade</t>
  </si>
  <si>
    <t>g/cm</t>
  </si>
  <si>
    <t>schedule 40 weighs</t>
  </si>
  <si>
    <t>Old system must have had 2200 g out of water, since black submerged part of round float provides 2200 g buoyancy</t>
  </si>
  <si>
    <t>increase in rad weight</t>
  </si>
  <si>
    <t>pvc to hold shade</t>
  </si>
  <si>
    <t>Increase in mass</t>
  </si>
  <si>
    <t>total increase in mass</t>
  </si>
  <si>
    <t>original mass above water</t>
  </si>
  <si>
    <t>total buoyancy needed</t>
  </si>
  <si>
    <t>buoyancy each side</t>
  </si>
  <si>
    <t>Cork needed above water to simulate yellow float</t>
  </si>
  <si>
    <t>cork width</t>
  </si>
  <si>
    <t>cork height above water</t>
  </si>
  <si>
    <t>cork thickness 2 sides</t>
  </si>
  <si>
    <t>total width of cork cm</t>
  </si>
  <si>
    <t>missing center width</t>
  </si>
  <si>
    <t>weight of cork out of water</t>
  </si>
  <si>
    <t>weight of plastic out of water</t>
  </si>
  <si>
    <t xml:space="preserve"> area</t>
  </si>
  <si>
    <t>old float radius</t>
  </si>
  <si>
    <t xml:space="preserve">old float height </t>
  </si>
  <si>
    <t>old float volume</t>
  </si>
  <si>
    <t>cork weighs</t>
  </si>
  <si>
    <t>g/cc</t>
  </si>
  <si>
    <t>net width</t>
  </si>
  <si>
    <t>thickness of cork in</t>
  </si>
  <si>
    <t>thickness of cork cm</t>
  </si>
  <si>
    <t>2 inch</t>
  </si>
  <si>
    <t>1 inch</t>
  </si>
  <si>
    <t>width x thickness</t>
  </si>
  <si>
    <t>total width x thickness</t>
  </si>
  <si>
    <t>depth needed</t>
  </si>
  <si>
    <t>each piece of cork</t>
  </si>
  <si>
    <t>below water</t>
  </si>
  <si>
    <t>number</t>
  </si>
  <si>
    <t>width</t>
  </si>
  <si>
    <t>length below water</t>
  </si>
  <si>
    <t>thickness</t>
  </si>
  <si>
    <t>short inner layer piece</t>
  </si>
  <si>
    <t>long inner layer piece</t>
  </si>
  <si>
    <t>outer layer piece</t>
  </si>
  <si>
    <t>tee and short L</t>
  </si>
  <si>
    <t>wish we could do</t>
  </si>
  <si>
    <t>top squares</t>
  </si>
  <si>
    <t>bottom angles</t>
  </si>
  <si>
    <t>thickness needed</t>
  </si>
  <si>
    <t>diameter cm</t>
  </si>
  <si>
    <t>round area</t>
  </si>
  <si>
    <t>center cutout width</t>
  </si>
  <si>
    <t>center cutout area</t>
  </si>
  <si>
    <t>therm notch area</t>
  </si>
  <si>
    <t>rack notch area</t>
  </si>
  <si>
    <t>displacement needed</t>
  </si>
  <si>
    <t>depth inches</t>
  </si>
  <si>
    <t>thin cylinder shade</t>
  </si>
  <si>
    <t>rad looking down mass g</t>
  </si>
  <si>
    <t>depth in water cm</t>
  </si>
  <si>
    <t>displacement cc</t>
  </si>
  <si>
    <t>mass of rad out of water g</t>
  </si>
  <si>
    <t>displacement of submerged part of old float cc</t>
  </si>
  <si>
    <t>net weight of the rest of the instrument g</t>
  </si>
  <si>
    <t>na</t>
  </si>
  <si>
    <t>31 cm two inch pipe</t>
  </si>
  <si>
    <t>pvc holding underside of shade</t>
  </si>
  <si>
    <t>31 cm vertical pipe pipe</t>
  </si>
  <si>
    <t>Density of building materials</t>
  </si>
  <si>
    <t>two inch pipe size pvc schd 40</t>
  </si>
  <si>
    <t>g / cm</t>
  </si>
  <si>
    <t>cork</t>
  </si>
  <si>
    <t>g / cc</t>
  </si>
  <si>
    <t>1/4 in thick black HDPE</t>
  </si>
  <si>
    <t>cork out of water</t>
  </si>
  <si>
    <t>Cork Sections below water</t>
  </si>
  <si>
    <t>center hole area</t>
  </si>
  <si>
    <t>pass through of 3 cm strip</t>
  </si>
  <si>
    <t>net extra area of center hole</t>
  </si>
  <si>
    <t>3 x 3 cutout for therm</t>
  </si>
  <si>
    <t>net area of top cork</t>
  </si>
  <si>
    <t>height of top cork</t>
  </si>
  <si>
    <t>volume of top cork</t>
  </si>
  <si>
    <t>Cork Section above water</t>
  </si>
  <si>
    <t>g /cm^2</t>
  </si>
  <si>
    <t>plastic top circle</t>
  </si>
  <si>
    <t>Center</t>
  </si>
  <si>
    <t>Total Buoyancy needed</t>
  </si>
  <si>
    <t>sum</t>
  </si>
  <si>
    <t>mass of top cork</t>
  </si>
  <si>
    <t>old float volume if no cutout</t>
  </si>
  <si>
    <t xml:space="preserve">hose clamp </t>
  </si>
  <si>
    <t>torque</t>
  </si>
  <si>
    <t>distance</t>
  </si>
  <si>
    <t>rad looking up mass g</t>
  </si>
  <si>
    <t>mass of radiometer out of water g</t>
  </si>
  <si>
    <t>extra torque needed</t>
  </si>
  <si>
    <t>7/16 threaded rod</t>
  </si>
  <si>
    <t>3/8 threaded rod</t>
  </si>
  <si>
    <t>lead only</t>
  </si>
  <si>
    <t>extra torque</t>
  </si>
  <si>
    <t>Dec 20 test</t>
  </si>
  <si>
    <t>rod</t>
  </si>
  <si>
    <t>lead, nuts, washers</t>
  </si>
  <si>
    <t>g</t>
  </si>
  <si>
    <t>cm</t>
  </si>
  <si>
    <t>"density" of threaded rod</t>
  </si>
  <si>
    <t>30 cm rod</t>
  </si>
  <si>
    <t>length of threaded rod</t>
  </si>
  <si>
    <t>total</t>
  </si>
  <si>
    <t>need extra torque equal to bucket on rad</t>
  </si>
  <si>
    <t>grand total</t>
  </si>
  <si>
    <t>Two leads at greater distance</t>
  </si>
  <si>
    <t>Single lead at great distance</t>
  </si>
  <si>
    <t>two leads, nuts, washers</t>
  </si>
  <si>
    <t>heavy</t>
  </si>
  <si>
    <t>dist</t>
  </si>
  <si>
    <t>delta:</t>
  </si>
  <si>
    <t>heavy-delta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</si>
</sst>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2" borderId="4" xfId="0" applyFill="1" applyBorder="1"/>
    <xf numFmtId="0" fontId="0" fillId="2" borderId="0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0" fillId="0" borderId="0" xfId="0" quotePrefix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J19"/>
    </sheetView>
  </sheetViews>
  <sheetFormatPr defaultRowHeight="15" x14ac:dyDescent="0.25"/>
  <cols>
    <col min="1" max="1" width="11.5703125" customWidth="1"/>
    <col min="2" max="2" width="22.7109375" customWidth="1"/>
    <col min="3" max="3" width="9.140625" style="1"/>
    <col min="4" max="4" width="13.140625" style="1" bestFit="1" customWidth="1"/>
    <col min="5" max="5" width="13.5703125" style="1" bestFit="1" customWidth="1"/>
    <col min="7" max="7" width="22.7109375" bestFit="1" customWidth="1"/>
    <col min="8" max="9" width="9.140625" style="1"/>
  </cols>
  <sheetData>
    <row r="1" spans="1:10" x14ac:dyDescent="0.25">
      <c r="A1" t="s">
        <v>0</v>
      </c>
    </row>
    <row r="3" spans="1:10" ht="21" x14ac:dyDescent="0.35">
      <c r="B3" s="17" t="s">
        <v>1</v>
      </c>
    </row>
    <row r="4" spans="1:10" s="2" customFormat="1" x14ac:dyDescent="0.25">
      <c r="B4" s="2" t="s">
        <v>2</v>
      </c>
      <c r="C4" s="3" t="s">
        <v>13</v>
      </c>
      <c r="D4" s="3" t="s">
        <v>14</v>
      </c>
      <c r="E4" s="3" t="s">
        <v>15</v>
      </c>
      <c r="G4" s="2" t="s">
        <v>6</v>
      </c>
      <c r="H4" s="3" t="s">
        <v>4</v>
      </c>
      <c r="I4" s="3" t="s">
        <v>5</v>
      </c>
    </row>
    <row r="5" spans="1:10" x14ac:dyDescent="0.25">
      <c r="B5" t="s">
        <v>3</v>
      </c>
      <c r="C5" s="1">
        <v>553</v>
      </c>
      <c r="D5" s="1">
        <v>20</v>
      </c>
      <c r="E5" s="1">
        <f>C5*D5</f>
        <v>11060</v>
      </c>
      <c r="G5" t="s">
        <v>3</v>
      </c>
      <c r="H5" s="1">
        <v>553</v>
      </c>
      <c r="I5" s="1">
        <v>20</v>
      </c>
      <c r="J5" s="1">
        <f t="shared" ref="J5" si="0">H5*I5</f>
        <v>11060</v>
      </c>
    </row>
    <row r="8" spans="1:10" ht="21" x14ac:dyDescent="0.35">
      <c r="B8" s="17" t="s">
        <v>7</v>
      </c>
    </row>
    <row r="10" spans="1:10" x14ac:dyDescent="0.25">
      <c r="B10" t="s">
        <v>3</v>
      </c>
      <c r="C10" s="1">
        <v>1118.4000000000001</v>
      </c>
      <c r="D10" s="1">
        <v>35</v>
      </c>
      <c r="E10" s="1">
        <f t="shared" ref="E10:E15" si="1">C10*D10</f>
        <v>39144</v>
      </c>
      <c r="G10" t="s">
        <v>3</v>
      </c>
      <c r="H10" s="1">
        <v>793.2</v>
      </c>
      <c r="I10" s="1">
        <v>20</v>
      </c>
      <c r="J10" s="1">
        <f t="shared" ref="J10" si="2">H10*I10</f>
        <v>15864</v>
      </c>
    </row>
    <row r="11" spans="1:10" x14ac:dyDescent="0.25">
      <c r="B11" t="s">
        <v>8</v>
      </c>
      <c r="C11" s="1">
        <v>440.9</v>
      </c>
      <c r="D11" s="1">
        <v>35</v>
      </c>
      <c r="E11" s="1">
        <f t="shared" si="1"/>
        <v>15431.5</v>
      </c>
    </row>
    <row r="12" spans="1:10" x14ac:dyDescent="0.25">
      <c r="B12" t="s">
        <v>9</v>
      </c>
      <c r="C12" s="1">
        <v>571.29999999999995</v>
      </c>
      <c r="D12" s="1">
        <v>30.5</v>
      </c>
      <c r="E12" s="1">
        <f t="shared" si="1"/>
        <v>17424.649999999998</v>
      </c>
    </row>
    <row r="13" spans="1:10" x14ac:dyDescent="0.25">
      <c r="A13">
        <f>C13/7.6</f>
        <v>14.184210526315789</v>
      </c>
      <c r="B13" t="s">
        <v>10</v>
      </c>
      <c r="C13" s="1">
        <v>107.8</v>
      </c>
      <c r="D13" s="1">
        <v>26.5</v>
      </c>
      <c r="E13" s="1">
        <f t="shared" si="1"/>
        <v>2856.7</v>
      </c>
    </row>
    <row r="14" spans="1:10" x14ac:dyDescent="0.25">
      <c r="A14">
        <f>C14/34.8</f>
        <v>14.192528735632184</v>
      </c>
      <c r="B14" t="s">
        <v>25</v>
      </c>
      <c r="C14" s="1">
        <v>493.9</v>
      </c>
      <c r="D14" s="1">
        <v>20</v>
      </c>
      <c r="E14" s="1">
        <f t="shared" si="1"/>
        <v>9878</v>
      </c>
    </row>
    <row r="15" spans="1:10" x14ac:dyDescent="0.25">
      <c r="B15" t="s">
        <v>11</v>
      </c>
      <c r="C15" s="1">
        <v>351.1</v>
      </c>
      <c r="D15" s="1">
        <v>35</v>
      </c>
      <c r="E15" s="1">
        <f t="shared" si="1"/>
        <v>12288.5</v>
      </c>
      <c r="G15" t="s">
        <v>16</v>
      </c>
      <c r="H15" s="1">
        <f>J15/I15</f>
        <v>4057.9674999999997</v>
      </c>
      <c r="I15" s="1">
        <v>20</v>
      </c>
      <c r="J15" s="1">
        <f>E16-J10</f>
        <v>81159.349999999991</v>
      </c>
    </row>
    <row r="16" spans="1:10" x14ac:dyDescent="0.25">
      <c r="B16" t="s">
        <v>32</v>
      </c>
      <c r="C16" s="1">
        <f>SUM(C10:C15)</f>
        <v>3083.4000000000005</v>
      </c>
      <c r="E16" s="1">
        <f>SUM(E10:E15)</f>
        <v>97023.349999999991</v>
      </c>
      <c r="G16" t="s">
        <v>32</v>
      </c>
      <c r="H16" s="1">
        <f>SUM(H10:H15)</f>
        <v>4851.1674999999996</v>
      </c>
      <c r="J16">
        <f>SUM(J10:J15)</f>
        <v>97023.349999999991</v>
      </c>
    </row>
    <row r="18" spans="2:8" x14ac:dyDescent="0.25">
      <c r="B18" t="s">
        <v>12</v>
      </c>
      <c r="C18" s="1">
        <f>C16-C5</f>
        <v>2530.4000000000005</v>
      </c>
      <c r="D18" s="1">
        <f>C18*0.68/0.95</f>
        <v>1811.2336842105269</v>
      </c>
      <c r="E18" s="1" t="s">
        <v>33</v>
      </c>
      <c r="G18" t="s">
        <v>12</v>
      </c>
      <c r="H18" s="1">
        <f>H16-H5</f>
        <v>4298.1674999999996</v>
      </c>
    </row>
    <row r="20" spans="2:8" ht="15.75" thickBot="1" x14ac:dyDescent="0.3">
      <c r="F20" s="1"/>
    </row>
    <row r="21" spans="2:8" x14ac:dyDescent="0.25">
      <c r="B21" s="4" t="s">
        <v>17</v>
      </c>
      <c r="C21" s="5" t="s">
        <v>19</v>
      </c>
      <c r="D21" s="6">
        <v>11</v>
      </c>
      <c r="G21" t="s">
        <v>28</v>
      </c>
      <c r="H21" s="1">
        <f>(3/8+2)*2.54</f>
        <v>6.0324999999999998</v>
      </c>
    </row>
    <row r="22" spans="2:8" x14ac:dyDescent="0.25">
      <c r="B22" s="7"/>
      <c r="C22" s="8" t="s">
        <v>21</v>
      </c>
      <c r="D22" s="9">
        <f>PI()*D21^2</f>
        <v>380.13271108436498</v>
      </c>
      <c r="G22" t="s">
        <v>26</v>
      </c>
      <c r="H22" s="1">
        <f>H21/2</f>
        <v>3.0162499999999999</v>
      </c>
    </row>
    <row r="23" spans="2:8" x14ac:dyDescent="0.25">
      <c r="B23" s="7"/>
      <c r="C23" s="8"/>
      <c r="D23" s="9"/>
      <c r="G23" t="s">
        <v>27</v>
      </c>
      <c r="H23" s="1">
        <f>PI()*H22^2</f>
        <v>28.581468742843231</v>
      </c>
    </row>
    <row r="24" spans="2:8" x14ac:dyDescent="0.25">
      <c r="B24" s="10"/>
      <c r="C24" s="11" t="s">
        <v>31</v>
      </c>
      <c r="D24" s="12">
        <v>4.4000000000000004</v>
      </c>
      <c r="G24" t="s">
        <v>29</v>
      </c>
    </row>
    <row r="25" spans="2:8" x14ac:dyDescent="0.25">
      <c r="B25" s="7"/>
      <c r="C25" s="8"/>
      <c r="D25" s="9"/>
      <c r="G25" t="s">
        <v>30</v>
      </c>
    </row>
    <row r="26" spans="2:8" x14ac:dyDescent="0.25">
      <c r="B26" s="7"/>
      <c r="C26" s="8" t="s">
        <v>20</v>
      </c>
      <c r="D26" s="12">
        <f>D21+D24</f>
        <v>15.4</v>
      </c>
    </row>
    <row r="27" spans="2:8" x14ac:dyDescent="0.25">
      <c r="B27" s="7"/>
      <c r="C27" s="8" t="s">
        <v>22</v>
      </c>
      <c r="D27" s="9">
        <f>PI()*D26^2</f>
        <v>745.06011372535545</v>
      </c>
      <c r="G27">
        <f>C18/14.4</f>
        <v>175.72222222222226</v>
      </c>
    </row>
    <row r="28" spans="2:8" x14ac:dyDescent="0.25">
      <c r="B28" s="7"/>
      <c r="C28" s="8"/>
      <c r="D28" s="9"/>
    </row>
    <row r="29" spans="2:8" x14ac:dyDescent="0.25">
      <c r="B29" s="7"/>
      <c r="C29" s="8" t="s">
        <v>23</v>
      </c>
      <c r="D29" s="9">
        <f>D27-D22</f>
        <v>364.92740264099046</v>
      </c>
    </row>
    <row r="30" spans="2:8" x14ac:dyDescent="0.25">
      <c r="B30" s="7"/>
      <c r="C30" s="13" t="s">
        <v>18</v>
      </c>
      <c r="D30" s="9">
        <v>7</v>
      </c>
    </row>
    <row r="31" spans="2:8" ht="15.75" thickBot="1" x14ac:dyDescent="0.3">
      <c r="B31" s="14"/>
      <c r="C31" s="15" t="s">
        <v>24</v>
      </c>
      <c r="D31" s="16">
        <f>D29*D30</f>
        <v>2554.4918184869334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31" workbookViewId="0">
      <selection activeCell="C16" sqref="C16"/>
    </sheetView>
  </sheetViews>
  <sheetFormatPr defaultRowHeight="15" x14ac:dyDescent="0.25"/>
  <cols>
    <col min="1" max="1" width="11.5703125" customWidth="1"/>
    <col min="2" max="2" width="22.7109375" customWidth="1"/>
    <col min="4" max="4" width="13.140625" bestFit="1" customWidth="1"/>
    <col min="5" max="5" width="13.5703125" bestFit="1" customWidth="1"/>
    <col min="7" max="7" width="22.7109375" bestFit="1" customWidth="1"/>
  </cols>
  <sheetData>
    <row r="1" spans="1:11" x14ac:dyDescent="0.25">
      <c r="A1" t="s">
        <v>0</v>
      </c>
      <c r="C1" s="1"/>
      <c r="D1" s="1"/>
      <c r="E1" s="1"/>
      <c r="H1" s="1"/>
      <c r="I1" s="1"/>
    </row>
    <row r="2" spans="1:11" x14ac:dyDescent="0.25">
      <c r="C2" s="1"/>
      <c r="D2" s="1"/>
      <c r="E2" s="1"/>
      <c r="H2" s="1"/>
      <c r="I2" s="1"/>
    </row>
    <row r="3" spans="1:11" ht="21" x14ac:dyDescent="0.35">
      <c r="B3" s="17" t="s">
        <v>1</v>
      </c>
      <c r="C3" s="1"/>
      <c r="D3" s="1"/>
      <c r="E3" s="1"/>
      <c r="H3" s="1"/>
      <c r="I3" s="1"/>
    </row>
    <row r="4" spans="1:11" x14ac:dyDescent="0.25">
      <c r="A4" s="2"/>
      <c r="B4" s="2" t="s">
        <v>2</v>
      </c>
      <c r="C4" s="3" t="s">
        <v>13</v>
      </c>
      <c r="D4" s="3" t="s">
        <v>14</v>
      </c>
      <c r="E4" s="3" t="s">
        <v>15</v>
      </c>
      <c r="F4" s="2"/>
      <c r="G4" s="2" t="s">
        <v>6</v>
      </c>
      <c r="H4" s="3" t="s">
        <v>4</v>
      </c>
      <c r="I4" s="3" t="s">
        <v>5</v>
      </c>
      <c r="J4" s="2"/>
      <c r="K4" s="2"/>
    </row>
    <row r="5" spans="1:11" x14ac:dyDescent="0.25">
      <c r="B5" t="s">
        <v>3</v>
      </c>
      <c r="C5" s="1">
        <v>553</v>
      </c>
      <c r="D5" s="1">
        <v>20</v>
      </c>
      <c r="E5" s="1">
        <f>C5*D5</f>
        <v>11060</v>
      </c>
      <c r="G5" t="s">
        <v>3</v>
      </c>
      <c r="H5" s="1">
        <v>553</v>
      </c>
      <c r="I5" s="1">
        <v>20</v>
      </c>
      <c r="J5" s="1">
        <f t="shared" ref="J5" si="0">H5*I5</f>
        <v>11060</v>
      </c>
    </row>
    <row r="6" spans="1:11" x14ac:dyDescent="0.25">
      <c r="C6" s="1"/>
      <c r="D6" s="1"/>
      <c r="E6" s="1"/>
      <c r="H6" s="1"/>
      <c r="I6" s="1"/>
    </row>
    <row r="7" spans="1:11" x14ac:dyDescent="0.25">
      <c r="C7" s="1"/>
      <c r="D7" s="1"/>
      <c r="E7" s="1"/>
      <c r="H7" s="1"/>
      <c r="I7" s="1"/>
    </row>
    <row r="8" spans="1:11" ht="21" x14ac:dyDescent="0.35">
      <c r="B8" s="17" t="s">
        <v>7</v>
      </c>
      <c r="C8" s="1" t="s">
        <v>34</v>
      </c>
      <c r="D8" s="1"/>
      <c r="E8" s="1">
        <f>68/95</f>
        <v>0.71578947368421053</v>
      </c>
      <c r="H8" s="1"/>
      <c r="I8" s="1"/>
    </row>
    <row r="9" spans="1:11" x14ac:dyDescent="0.25">
      <c r="C9" s="1"/>
      <c r="D9" s="1"/>
      <c r="E9" s="1"/>
      <c r="H9" s="1"/>
      <c r="I9" s="1"/>
    </row>
    <row r="10" spans="1:11" x14ac:dyDescent="0.25">
      <c r="B10" t="s">
        <v>3</v>
      </c>
      <c r="C10" s="1">
        <v>1120</v>
      </c>
      <c r="D10" s="1">
        <v>35</v>
      </c>
      <c r="E10" s="1">
        <f t="shared" ref="E10:E15" si="1">C10*D10</f>
        <v>39200</v>
      </c>
      <c r="G10" t="s">
        <v>3</v>
      </c>
      <c r="H10" s="1">
        <v>1120</v>
      </c>
      <c r="I10" s="1">
        <v>35</v>
      </c>
      <c r="J10" s="1">
        <f t="shared" ref="J10:J14" si="2">H10*I10</f>
        <v>39200</v>
      </c>
    </row>
    <row r="11" spans="1:11" x14ac:dyDescent="0.25">
      <c r="B11" t="s">
        <v>8</v>
      </c>
      <c r="C11" s="1">
        <v>440.9</v>
      </c>
      <c r="D11" s="1">
        <v>35</v>
      </c>
      <c r="E11" s="1">
        <f t="shared" si="1"/>
        <v>15431.5</v>
      </c>
      <c r="H11" s="1"/>
      <c r="I11" s="1"/>
      <c r="J11" s="1"/>
    </row>
    <row r="12" spans="1:11" x14ac:dyDescent="0.25">
      <c r="B12" t="s">
        <v>97</v>
      </c>
      <c r="C12" s="1">
        <v>339.1</v>
      </c>
      <c r="D12" s="1">
        <v>30.5</v>
      </c>
      <c r="E12" s="1">
        <f t="shared" si="1"/>
        <v>10342.550000000001</v>
      </c>
      <c r="G12" t="s">
        <v>97</v>
      </c>
      <c r="H12" s="1">
        <v>339.1</v>
      </c>
      <c r="I12" s="1">
        <v>30.5</v>
      </c>
      <c r="J12" s="1">
        <f t="shared" si="2"/>
        <v>10342.550000000001</v>
      </c>
    </row>
    <row r="13" spans="1:11" x14ac:dyDescent="0.25">
      <c r="A13">
        <f>C13/7.6</f>
        <v>0</v>
      </c>
      <c r="C13" s="1"/>
      <c r="D13" s="1">
        <v>26.5</v>
      </c>
      <c r="E13" s="1">
        <f t="shared" si="1"/>
        <v>0</v>
      </c>
      <c r="H13" s="1"/>
      <c r="I13" s="1">
        <v>26.5</v>
      </c>
      <c r="J13" s="1">
        <f t="shared" si="2"/>
        <v>0</v>
      </c>
    </row>
    <row r="14" spans="1:11" x14ac:dyDescent="0.25">
      <c r="A14">
        <f>C14/34.8</f>
        <v>10.158862673926196</v>
      </c>
      <c r="B14" t="s">
        <v>25</v>
      </c>
      <c r="C14" s="1">
        <f>493.9*E8</f>
        <v>353.52842105263159</v>
      </c>
      <c r="D14" s="1">
        <v>20</v>
      </c>
      <c r="E14" s="1">
        <f t="shared" si="1"/>
        <v>7070.5684210526315</v>
      </c>
      <c r="G14" t="s">
        <v>25</v>
      </c>
      <c r="H14" s="1">
        <v>353</v>
      </c>
      <c r="I14" s="1">
        <v>20</v>
      </c>
      <c r="J14" s="1">
        <f t="shared" si="2"/>
        <v>7060</v>
      </c>
    </row>
    <row r="15" spans="1:11" x14ac:dyDescent="0.25">
      <c r="B15" t="s">
        <v>11</v>
      </c>
      <c r="C15" s="1">
        <v>351.1</v>
      </c>
      <c r="D15" s="1">
        <v>35</v>
      </c>
      <c r="E15" s="1">
        <f t="shared" si="1"/>
        <v>12288.5</v>
      </c>
      <c r="H15" s="1">
        <f>351.1*J8</f>
        <v>0</v>
      </c>
      <c r="I15" s="1">
        <v>35</v>
      </c>
      <c r="J15" s="1"/>
    </row>
    <row r="16" spans="1:11" x14ac:dyDescent="0.25">
      <c r="B16" t="s">
        <v>32</v>
      </c>
      <c r="C16" s="1">
        <f>SUM(C10:C15)</f>
        <v>2604.6284210526314</v>
      </c>
      <c r="D16" s="1"/>
      <c r="E16" s="1">
        <f>SUM(E10:E15)</f>
        <v>84333.118421052641</v>
      </c>
      <c r="G16" t="s">
        <v>32</v>
      </c>
      <c r="H16" s="1">
        <f>SUM(H10:H15)</f>
        <v>1812.1</v>
      </c>
      <c r="I16" s="1"/>
      <c r="J16" s="1">
        <f>SUM(J10:J15)</f>
        <v>56602.55</v>
      </c>
    </row>
    <row r="17" spans="2:9" x14ac:dyDescent="0.25">
      <c r="C17" s="1"/>
      <c r="D17" s="1"/>
      <c r="E17" s="1"/>
      <c r="H17" s="1"/>
      <c r="I17" s="1"/>
    </row>
    <row r="18" spans="2:9" x14ac:dyDescent="0.25">
      <c r="B18" t="s">
        <v>12</v>
      </c>
      <c r="C18" s="1">
        <f>C16-C5</f>
        <v>2051.6284210526314</v>
      </c>
      <c r="D18" s="1"/>
      <c r="E18" s="1"/>
      <c r="G18" t="s">
        <v>12</v>
      </c>
      <c r="H18" s="1">
        <f>H16-H5</f>
        <v>1259.0999999999999</v>
      </c>
      <c r="I18" s="1"/>
    </row>
    <row r="19" spans="2:9" x14ac:dyDescent="0.25">
      <c r="C19" s="1"/>
      <c r="D19" t="s">
        <v>35</v>
      </c>
      <c r="E19" s="1"/>
      <c r="F19" s="19">
        <f>C18+H18</f>
        <v>3310.7284210526313</v>
      </c>
      <c r="H19" s="1"/>
      <c r="I19" s="1"/>
    </row>
    <row r="20" spans="2:9" ht="15.75" thickBot="1" x14ac:dyDescent="0.3">
      <c r="C20" s="1"/>
      <c r="D20" s="1"/>
      <c r="E20" s="1"/>
      <c r="F20" s="1"/>
      <c r="H20" s="1"/>
      <c r="I20" s="1"/>
    </row>
    <row r="21" spans="2:9" x14ac:dyDescent="0.25">
      <c r="B21" s="4" t="s">
        <v>17</v>
      </c>
      <c r="C21" s="5" t="s">
        <v>19</v>
      </c>
      <c r="D21" s="6">
        <v>11</v>
      </c>
      <c r="E21" s="1"/>
      <c r="G21" t="s">
        <v>28</v>
      </c>
      <c r="H21" s="1">
        <f>(3/8+2)*2.54</f>
        <v>6.0324999999999998</v>
      </c>
      <c r="I21" s="1"/>
    </row>
    <row r="22" spans="2:9" x14ac:dyDescent="0.25">
      <c r="B22" s="7"/>
      <c r="C22" s="8" t="s">
        <v>21</v>
      </c>
      <c r="D22" s="9">
        <f>PI()*D21^2</f>
        <v>380.13271108436498</v>
      </c>
      <c r="E22" s="1"/>
      <c r="G22" t="s">
        <v>26</v>
      </c>
      <c r="H22" s="1">
        <f>H21/2</f>
        <v>3.0162499999999999</v>
      </c>
      <c r="I22" s="1"/>
    </row>
    <row r="23" spans="2:9" x14ac:dyDescent="0.25">
      <c r="B23" s="7"/>
      <c r="C23" s="8"/>
      <c r="D23" s="9"/>
      <c r="E23" s="1"/>
      <c r="G23" t="s">
        <v>27</v>
      </c>
      <c r="H23" s="1">
        <f>PI()*H22^2</f>
        <v>28.581468742843231</v>
      </c>
      <c r="I23" s="1"/>
    </row>
    <row r="24" spans="2:9" x14ac:dyDescent="0.25">
      <c r="B24" s="10"/>
      <c r="C24" s="11" t="s">
        <v>31</v>
      </c>
      <c r="D24" s="12">
        <v>5.5</v>
      </c>
      <c r="E24" s="1"/>
      <c r="G24" t="s">
        <v>29</v>
      </c>
      <c r="H24" s="1"/>
      <c r="I24" s="1"/>
    </row>
    <row r="25" spans="2:9" x14ac:dyDescent="0.25">
      <c r="B25" s="7"/>
      <c r="C25" s="8"/>
      <c r="D25" s="9"/>
      <c r="E25" s="1"/>
      <c r="G25" t="s">
        <v>30</v>
      </c>
      <c r="H25" s="1"/>
      <c r="I25" s="1"/>
    </row>
    <row r="26" spans="2:9" x14ac:dyDescent="0.25">
      <c r="B26" s="7"/>
      <c r="C26" s="8" t="s">
        <v>20</v>
      </c>
      <c r="D26" s="12">
        <f>D21+D24</f>
        <v>16.5</v>
      </c>
      <c r="E26" s="1"/>
      <c r="H26" s="1"/>
      <c r="I26" s="1"/>
    </row>
    <row r="27" spans="2:9" x14ac:dyDescent="0.25">
      <c r="B27" s="7"/>
      <c r="C27" s="8" t="s">
        <v>22</v>
      </c>
      <c r="D27" s="9">
        <f>PI()*D26^2</f>
        <v>855.2985999398212</v>
      </c>
      <c r="E27" s="1"/>
      <c r="G27">
        <f>C18/14.4</f>
        <v>142.47419590643273</v>
      </c>
      <c r="H27" s="1"/>
      <c r="I27" s="1"/>
    </row>
    <row r="28" spans="2:9" x14ac:dyDescent="0.25">
      <c r="B28" s="7"/>
      <c r="C28" s="8"/>
      <c r="D28" s="9"/>
      <c r="E28" s="1"/>
      <c r="H28" s="1"/>
      <c r="I28" s="1"/>
    </row>
    <row r="29" spans="2:9" x14ac:dyDescent="0.25">
      <c r="B29" s="7"/>
      <c r="C29" s="8" t="s">
        <v>23</v>
      </c>
      <c r="D29" s="9">
        <f>D27-D22</f>
        <v>475.16588885545622</v>
      </c>
      <c r="E29" s="1"/>
      <c r="H29" s="1"/>
      <c r="I29" s="1"/>
    </row>
    <row r="30" spans="2:9" x14ac:dyDescent="0.25">
      <c r="B30" s="7"/>
      <c r="C30" s="13" t="s">
        <v>18</v>
      </c>
      <c r="D30" s="9">
        <v>7</v>
      </c>
      <c r="E30" s="1"/>
      <c r="H30" s="1"/>
      <c r="I30" s="1"/>
    </row>
    <row r="31" spans="2:9" ht="15.75" thickBot="1" x14ac:dyDescent="0.3">
      <c r="B31" s="14"/>
      <c r="C31" s="15" t="s">
        <v>24</v>
      </c>
      <c r="D31" s="16">
        <f>D29*D30</f>
        <v>3326.1612219881936</v>
      </c>
      <c r="E31" s="1"/>
      <c r="H31" s="1"/>
      <c r="I31" s="1"/>
    </row>
    <row r="32" spans="2:9" x14ac:dyDescent="0.25">
      <c r="C32" s="1"/>
      <c r="D32" s="1"/>
      <c r="E32" s="1"/>
      <c r="H32" s="1"/>
      <c r="I32" s="1"/>
    </row>
    <row r="33" spans="2:10" x14ac:dyDescent="0.25">
      <c r="C33" s="1"/>
      <c r="D33" s="1"/>
      <c r="E33" s="1"/>
      <c r="H33" s="1"/>
      <c r="I33" s="1"/>
    </row>
    <row r="34" spans="2:10" x14ac:dyDescent="0.25">
      <c r="C34" s="1"/>
      <c r="D34" s="1"/>
      <c r="E34" s="1"/>
      <c r="H34" s="1"/>
      <c r="I34" s="1"/>
    </row>
    <row r="35" spans="2:10" x14ac:dyDescent="0.25">
      <c r="B35" t="s">
        <v>46</v>
      </c>
      <c r="C35" s="1"/>
      <c r="D35" s="1"/>
      <c r="E35" s="1"/>
      <c r="G35" t="s">
        <v>49</v>
      </c>
      <c r="H35" s="1"/>
      <c r="I35" s="1"/>
    </row>
    <row r="36" spans="2:10" x14ac:dyDescent="0.25">
      <c r="B36" t="s">
        <v>36</v>
      </c>
      <c r="C36" s="1">
        <v>7.25</v>
      </c>
      <c r="D36" s="1"/>
      <c r="E36" s="1"/>
      <c r="H36" s="1">
        <v>3.7</v>
      </c>
      <c r="I36" s="1">
        <v>19.5</v>
      </c>
      <c r="J36">
        <f>H36*I36</f>
        <v>72.150000000000006</v>
      </c>
    </row>
    <row r="37" spans="2:10" x14ac:dyDescent="0.25">
      <c r="B37" t="s">
        <v>37</v>
      </c>
      <c r="C37">
        <f>C36*2.54</f>
        <v>18.414999999999999</v>
      </c>
      <c r="H37">
        <v>10.8</v>
      </c>
      <c r="I37">
        <f>19.5/2</f>
        <v>9.75</v>
      </c>
      <c r="J37">
        <f t="shared" ref="J37:J38" si="3">H37*I37</f>
        <v>105.30000000000001</v>
      </c>
    </row>
    <row r="38" spans="2:10" x14ac:dyDescent="0.25">
      <c r="B38" t="s">
        <v>26</v>
      </c>
      <c r="C38">
        <f>C37/2</f>
        <v>9.2074999999999996</v>
      </c>
      <c r="H38">
        <v>2.5</v>
      </c>
      <c r="I38">
        <v>14.5</v>
      </c>
      <c r="J38">
        <f t="shared" si="3"/>
        <v>36.25</v>
      </c>
    </row>
    <row r="39" spans="2:10" x14ac:dyDescent="0.25">
      <c r="B39" t="s">
        <v>27</v>
      </c>
      <c r="C39">
        <f>PI()*C38^2</f>
        <v>266.3381187006222</v>
      </c>
      <c r="I39" s="18" t="s">
        <v>50</v>
      </c>
      <c r="J39">
        <f>SUM(J36:J38)</f>
        <v>213.70000000000002</v>
      </c>
    </row>
    <row r="40" spans="2:10" x14ac:dyDescent="0.25">
      <c r="B40" t="s">
        <v>42</v>
      </c>
      <c r="C40">
        <f>C39</f>
        <v>266.3381187006222</v>
      </c>
      <c r="I40" t="s">
        <v>53</v>
      </c>
      <c r="J40">
        <f>J39*4</f>
        <v>854.80000000000007</v>
      </c>
    </row>
    <row r="41" spans="2:10" x14ac:dyDescent="0.25">
      <c r="I41" s="18" t="s">
        <v>52</v>
      </c>
      <c r="J41">
        <f>9.5*22</f>
        <v>209</v>
      </c>
    </row>
    <row r="42" spans="2:10" x14ac:dyDescent="0.25">
      <c r="B42" t="s">
        <v>38</v>
      </c>
      <c r="I42" t="s">
        <v>51</v>
      </c>
      <c r="J42">
        <f>J40-J41</f>
        <v>645.80000000000007</v>
      </c>
    </row>
    <row r="43" spans="2:10" x14ac:dyDescent="0.25">
      <c r="B43" t="s">
        <v>39</v>
      </c>
      <c r="C43">
        <v>5.6</v>
      </c>
    </row>
    <row r="44" spans="2:10" x14ac:dyDescent="0.25">
      <c r="B44" t="s">
        <v>40</v>
      </c>
      <c r="C44">
        <f>C37</f>
        <v>18.414999999999999</v>
      </c>
      <c r="G44" t="s">
        <v>47</v>
      </c>
      <c r="J44">
        <f>3601/J42</f>
        <v>5.5760297305667379</v>
      </c>
    </row>
    <row r="45" spans="2:10" x14ac:dyDescent="0.25">
      <c r="B45" t="s">
        <v>41</v>
      </c>
      <c r="C45">
        <f>C44*C43</f>
        <v>103.124</v>
      </c>
      <c r="H45" t="s">
        <v>48</v>
      </c>
      <c r="J45" s="19">
        <f>J44/2.54</f>
        <v>2.1952872954987157</v>
      </c>
    </row>
    <row r="47" spans="2:10" x14ac:dyDescent="0.25">
      <c r="B47" t="s">
        <v>43</v>
      </c>
      <c r="C47">
        <f>C40-C45</f>
        <v>163.21411870062221</v>
      </c>
    </row>
    <row r="49" spans="2:3" x14ac:dyDescent="0.25">
      <c r="B49" s="18" t="s">
        <v>44</v>
      </c>
      <c r="C49">
        <f>3600/C47</f>
        <v>22.056915349359883</v>
      </c>
    </row>
    <row r="50" spans="2:3" x14ac:dyDescent="0.25">
      <c r="B50" t="s">
        <v>45</v>
      </c>
      <c r="C50">
        <f>C49/2.54</f>
        <v>8.6838249406928671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workbookViewId="0">
      <selection activeCell="D126" sqref="D126"/>
    </sheetView>
  </sheetViews>
  <sheetFormatPr defaultRowHeight="15" x14ac:dyDescent="0.25"/>
  <cols>
    <col min="2" max="2" width="28.7109375" style="20" customWidth="1"/>
    <col min="3" max="3" width="11.42578125" customWidth="1"/>
    <col min="6" max="6" width="43.140625" bestFit="1" customWidth="1"/>
    <col min="7" max="7" width="13.5703125" bestFit="1" customWidth="1"/>
  </cols>
  <sheetData>
    <row r="1" spans="1:11" x14ac:dyDescent="0.25">
      <c r="A1" t="s">
        <v>0</v>
      </c>
      <c r="C1" s="1"/>
      <c r="D1" s="1"/>
      <c r="E1" s="1"/>
      <c r="F1" s="1"/>
      <c r="G1" s="1"/>
      <c r="I1" s="1"/>
      <c r="J1" s="1"/>
    </row>
    <row r="2" spans="1:11" x14ac:dyDescent="0.25">
      <c r="C2" s="1"/>
      <c r="D2" s="1"/>
      <c r="E2" s="1"/>
      <c r="F2" s="1"/>
      <c r="G2" s="1"/>
      <c r="I2" s="1"/>
      <c r="J2" s="1"/>
    </row>
    <row r="3" spans="1:11" ht="21" x14ac:dyDescent="0.35">
      <c r="B3" s="32" t="s">
        <v>1</v>
      </c>
      <c r="C3" s="3" t="s">
        <v>2</v>
      </c>
      <c r="D3" s="1"/>
      <c r="E3" s="1"/>
      <c r="F3" s="1"/>
      <c r="G3" s="1"/>
      <c r="I3" s="1"/>
      <c r="J3" s="1"/>
    </row>
    <row r="4" spans="1:11" x14ac:dyDescent="0.25">
      <c r="A4" s="2"/>
      <c r="B4" s="33"/>
      <c r="C4" t="s">
        <v>4</v>
      </c>
      <c r="D4" s="3" t="s">
        <v>5</v>
      </c>
      <c r="E4" s="3" t="s">
        <v>145</v>
      </c>
      <c r="F4" s="3" t="s">
        <v>139</v>
      </c>
      <c r="G4" s="3"/>
      <c r="H4" s="3" t="s">
        <v>6</v>
      </c>
      <c r="I4" s="3" t="s">
        <v>146</v>
      </c>
      <c r="J4" s="3" t="s">
        <v>145</v>
      </c>
      <c r="K4" s="2"/>
    </row>
    <row r="5" spans="1:11" x14ac:dyDescent="0.25">
      <c r="A5" s="2"/>
      <c r="B5" s="20" t="s">
        <v>111</v>
      </c>
      <c r="C5" s="31">
        <v>1120.4000000000001</v>
      </c>
      <c r="D5" s="31"/>
      <c r="E5" s="31"/>
      <c r="F5" s="31"/>
      <c r="G5" s="31"/>
      <c r="H5" s="30">
        <v>1059.2</v>
      </c>
      <c r="I5" s="3"/>
      <c r="J5" s="3"/>
      <c r="K5" s="2"/>
    </row>
    <row r="6" spans="1:11" x14ac:dyDescent="0.25">
      <c r="A6" s="2"/>
      <c r="B6" s="20" t="s">
        <v>102</v>
      </c>
      <c r="C6" s="31">
        <f>(2+3/8)*2.54</f>
        <v>6.0324999999999998</v>
      </c>
      <c r="D6" s="31"/>
      <c r="E6" s="31"/>
      <c r="F6" s="31"/>
      <c r="G6" s="31"/>
      <c r="H6" s="31">
        <f>(2+3/8)*2.54</f>
        <v>6.0324999999999998</v>
      </c>
      <c r="I6" s="3"/>
      <c r="J6" s="3"/>
      <c r="K6" s="2"/>
    </row>
    <row r="7" spans="1:11" x14ac:dyDescent="0.25">
      <c r="A7" s="2"/>
      <c r="B7" s="20" t="s">
        <v>112</v>
      </c>
      <c r="C7" s="31">
        <v>20</v>
      </c>
      <c r="D7" s="31"/>
      <c r="E7" s="31"/>
      <c r="F7" s="31"/>
      <c r="G7" s="31"/>
      <c r="H7" s="31">
        <v>20</v>
      </c>
      <c r="I7" s="3"/>
      <c r="J7" s="3"/>
      <c r="K7" s="2"/>
    </row>
    <row r="8" spans="1:11" x14ac:dyDescent="0.25">
      <c r="A8" s="2"/>
      <c r="B8" s="20" t="s">
        <v>113</v>
      </c>
      <c r="C8" s="31">
        <f>(C6/2)^2*PI()*C7</f>
        <v>571.62937485686462</v>
      </c>
      <c r="D8" s="31"/>
      <c r="E8" s="31"/>
      <c r="F8" s="31"/>
      <c r="G8" s="31"/>
      <c r="H8" s="31">
        <f>(H6/2)^2*PI()*H7</f>
        <v>571.62937485686462</v>
      </c>
      <c r="I8" s="3"/>
      <c r="J8" s="3"/>
      <c r="K8" s="2"/>
    </row>
    <row r="9" spans="1:11" x14ac:dyDescent="0.25">
      <c r="B9" s="20" t="s">
        <v>114</v>
      </c>
      <c r="C9" s="31">
        <f>C5-C8</f>
        <v>548.77062514313548</v>
      </c>
      <c r="D9" s="31">
        <v>20</v>
      </c>
      <c r="E9" s="1">
        <f>C9*D9</f>
        <v>10975.41250286271</v>
      </c>
      <c r="F9" s="31"/>
      <c r="G9" s="31"/>
      <c r="H9" s="31">
        <f>H5-H8</f>
        <v>487.57062514313543</v>
      </c>
      <c r="I9" s="1">
        <v>20</v>
      </c>
      <c r="J9" s="1">
        <f>H9*I9</f>
        <v>9751.4125028627095</v>
      </c>
      <c r="K9" s="1"/>
    </row>
    <row r="10" spans="1:11" x14ac:dyDescent="0.25">
      <c r="C10" s="1"/>
      <c r="D10" s="1"/>
      <c r="E10" s="1"/>
      <c r="F10" s="1"/>
      <c r="G10" s="1"/>
      <c r="I10" s="1"/>
      <c r="J10" s="1"/>
    </row>
    <row r="11" spans="1:11" x14ac:dyDescent="0.25">
      <c r="C11" s="1"/>
      <c r="D11" s="1"/>
      <c r="E11" s="1"/>
      <c r="F11" s="20" t="s">
        <v>115</v>
      </c>
      <c r="G11" s="1">
        <v>2200</v>
      </c>
      <c r="I11" s="1"/>
      <c r="J11" s="1"/>
    </row>
    <row r="12" spans="1:11" x14ac:dyDescent="0.25">
      <c r="C12" s="1"/>
      <c r="D12" s="1"/>
      <c r="E12" s="1"/>
      <c r="F12" s="20" t="s">
        <v>116</v>
      </c>
      <c r="G12" s="1">
        <f>G11-C9-H9</f>
        <v>1163.6587497137291</v>
      </c>
      <c r="I12" s="1"/>
      <c r="J12" s="1"/>
    </row>
    <row r="13" spans="1:11" x14ac:dyDescent="0.25">
      <c r="C13" s="1"/>
      <c r="D13" s="1"/>
      <c r="E13" s="1"/>
      <c r="F13" s="1"/>
      <c r="G13" s="1"/>
      <c r="I13" s="1"/>
      <c r="J13" s="1"/>
    </row>
    <row r="14" spans="1:11" x14ac:dyDescent="0.25">
      <c r="B14" s="33" t="s">
        <v>121</v>
      </c>
      <c r="C14" s="1"/>
      <c r="D14" s="1"/>
      <c r="E14" s="1"/>
      <c r="F14" s="1"/>
      <c r="G14" s="1"/>
      <c r="I14" s="1"/>
      <c r="J14" s="1"/>
    </row>
    <row r="15" spans="1:11" x14ac:dyDescent="0.25">
      <c r="B15" s="20" t="s">
        <v>122</v>
      </c>
      <c r="C15" s="1">
        <f>657/61</f>
        <v>10.770491803278688</v>
      </c>
      <c r="D15" s="1"/>
      <c r="E15" s="1"/>
      <c r="F15" s="1" t="s">
        <v>123</v>
      </c>
      <c r="G15" s="1"/>
      <c r="I15" s="1"/>
      <c r="J15" s="1"/>
    </row>
    <row r="16" spans="1:11" x14ac:dyDescent="0.25">
      <c r="B16" s="20" t="s">
        <v>124</v>
      </c>
      <c r="C16" s="1">
        <f>2450/((36*12*3)*(2.54^3))</f>
        <v>0.11536124462352941</v>
      </c>
      <c r="D16" s="1"/>
      <c r="E16" s="1"/>
      <c r="F16" s="1" t="s">
        <v>125</v>
      </c>
      <c r="G16" s="1"/>
      <c r="I16" s="1"/>
      <c r="J16" s="1"/>
    </row>
    <row r="17" spans="2:11" x14ac:dyDescent="0.25">
      <c r="B17" s="20" t="s">
        <v>126</v>
      </c>
      <c r="C17" s="1">
        <f>569/(12*12*2.54*2.54)</f>
        <v>0.61246650271078318</v>
      </c>
      <c r="D17" s="1"/>
      <c r="E17" s="1"/>
      <c r="F17" s="1" t="s">
        <v>137</v>
      </c>
      <c r="G17" s="1"/>
      <c r="I17" s="1"/>
      <c r="J17" s="1"/>
    </row>
    <row r="18" spans="2:11" x14ac:dyDescent="0.25">
      <c r="B18" s="20" t="s">
        <v>151</v>
      </c>
      <c r="C18" s="1">
        <f>203/45</f>
        <v>4.5111111111111111</v>
      </c>
      <c r="D18" s="1"/>
      <c r="E18" s="1"/>
      <c r="F18" s="38" t="s">
        <v>56</v>
      </c>
      <c r="G18" s="1">
        <f>PI()*(3/16)^2</f>
        <v>0.11044661672776616</v>
      </c>
      <c r="I18" s="1"/>
      <c r="J18" s="1"/>
    </row>
    <row r="19" spans="2:11" x14ac:dyDescent="0.25">
      <c r="B19" s="20" t="s">
        <v>150</v>
      </c>
      <c r="C19" s="1">
        <f>C18*G19/G18</f>
        <v>6.1401234567901231</v>
      </c>
      <c r="D19" s="1"/>
      <c r="E19" s="1"/>
      <c r="F19" s="1" t="s">
        <v>56</v>
      </c>
      <c r="G19" s="1">
        <f>PI()*(7/32)^2</f>
        <v>0.15033011721279282</v>
      </c>
      <c r="I19" s="1"/>
      <c r="J19" s="1"/>
    </row>
    <row r="20" spans="2:11" ht="21" x14ac:dyDescent="0.35">
      <c r="B20" s="32" t="s">
        <v>7</v>
      </c>
      <c r="C20" s="3" t="s">
        <v>2</v>
      </c>
      <c r="D20" s="3"/>
      <c r="E20" s="3"/>
      <c r="F20" s="3" t="s">
        <v>139</v>
      </c>
      <c r="G20" s="1"/>
      <c r="H20" s="3" t="s">
        <v>6</v>
      </c>
      <c r="I20" s="1"/>
      <c r="J20" s="1"/>
    </row>
    <row r="21" spans="2:11" ht="21" x14ac:dyDescent="0.35">
      <c r="B21" s="32"/>
      <c r="C21" s="3" t="s">
        <v>4</v>
      </c>
      <c r="D21" s="3" t="s">
        <v>5</v>
      </c>
      <c r="E21" s="3" t="s">
        <v>145</v>
      </c>
      <c r="F21" s="3"/>
      <c r="G21" s="1"/>
      <c r="H21" s="3" t="s">
        <v>4</v>
      </c>
      <c r="I21" s="3" t="s">
        <v>5</v>
      </c>
      <c r="J21" s="3" t="s">
        <v>145</v>
      </c>
    </row>
    <row r="22" spans="2:11" x14ac:dyDescent="0.25">
      <c r="E22" s="22"/>
      <c r="F22" s="20" t="s">
        <v>147</v>
      </c>
      <c r="G22" s="1"/>
      <c r="H22" s="21">
        <v>1059.2</v>
      </c>
      <c r="I22" s="1"/>
      <c r="J22" s="1"/>
      <c r="K22" s="1"/>
    </row>
    <row r="23" spans="2:11" x14ac:dyDescent="0.25">
      <c r="C23" s="22"/>
      <c r="D23" s="22"/>
      <c r="E23" s="22"/>
      <c r="F23" s="20" t="s">
        <v>102</v>
      </c>
      <c r="G23" s="1"/>
      <c r="H23" s="31">
        <f>(2+3/8)*2.54</f>
        <v>6.0324999999999998</v>
      </c>
      <c r="I23" s="1"/>
      <c r="J23" s="1"/>
      <c r="K23" s="1"/>
    </row>
    <row r="24" spans="2:11" x14ac:dyDescent="0.25">
      <c r="C24" s="22"/>
      <c r="D24" s="22"/>
      <c r="E24" s="22"/>
      <c r="F24" s="20" t="s">
        <v>112</v>
      </c>
      <c r="G24" s="1"/>
      <c r="H24" s="31">
        <v>11.5</v>
      </c>
      <c r="I24" s="1"/>
      <c r="J24" s="1"/>
      <c r="K24" s="1"/>
    </row>
    <row r="25" spans="2:11" x14ac:dyDescent="0.25">
      <c r="C25" s="22"/>
      <c r="D25" s="22"/>
      <c r="E25" s="22"/>
      <c r="F25" s="20" t="s">
        <v>113</v>
      </c>
      <c r="G25" s="1"/>
      <c r="H25" s="31">
        <f>(H23/2)^2*PI()*H24</f>
        <v>328.68689054269714</v>
      </c>
      <c r="I25" s="1"/>
      <c r="J25" s="1"/>
      <c r="K25" s="1"/>
    </row>
    <row r="26" spans="2:11" x14ac:dyDescent="0.25">
      <c r="B26" s="20" t="s">
        <v>3</v>
      </c>
      <c r="C26" s="22">
        <v>1120.4000000000001</v>
      </c>
      <c r="D26" s="22">
        <v>32</v>
      </c>
      <c r="E26" s="1">
        <f>C26*D26</f>
        <v>35852.800000000003</v>
      </c>
      <c r="F26" s="20" t="s">
        <v>148</v>
      </c>
      <c r="G26" s="1"/>
      <c r="H26" s="31">
        <f>H22-H25</f>
        <v>730.5131094573029</v>
      </c>
      <c r="I26" s="1">
        <v>20</v>
      </c>
      <c r="J26" s="1">
        <f>H26*I26</f>
        <v>14610.262189146059</v>
      </c>
      <c r="K26" s="1"/>
    </row>
    <row r="27" spans="2:11" x14ac:dyDescent="0.25">
      <c r="C27" s="22"/>
      <c r="D27" s="22"/>
      <c r="E27" s="22"/>
      <c r="F27" s="1"/>
      <c r="G27" s="1"/>
      <c r="H27" s="21"/>
      <c r="I27" s="1"/>
      <c r="J27" s="1"/>
      <c r="K27" s="1"/>
    </row>
    <row r="28" spans="2:11" ht="15.75" thickBot="1" x14ac:dyDescent="0.3">
      <c r="C28" s="22"/>
      <c r="D28" s="22"/>
      <c r="E28" s="22"/>
      <c r="F28" s="1"/>
      <c r="G28" s="1"/>
      <c r="H28" s="21"/>
      <c r="I28" s="1"/>
      <c r="J28" s="1"/>
      <c r="K28" s="1"/>
    </row>
    <row r="29" spans="2:11" x14ac:dyDescent="0.25">
      <c r="B29" s="20" t="s">
        <v>110</v>
      </c>
      <c r="C29" s="34">
        <v>79</v>
      </c>
      <c r="D29" s="25">
        <v>32</v>
      </c>
      <c r="E29" s="1">
        <f t="shared" ref="E29:E33" si="0">C29*D29</f>
        <v>2528</v>
      </c>
      <c r="F29" s="1"/>
      <c r="G29" s="1"/>
      <c r="H29" s="22" t="s">
        <v>117</v>
      </c>
      <c r="I29" s="1"/>
      <c r="J29" s="1"/>
    </row>
    <row r="30" spans="2:11" ht="15.75" thickBot="1" x14ac:dyDescent="0.3">
      <c r="B30" s="20" t="s">
        <v>119</v>
      </c>
      <c r="C30" s="36">
        <v>86</v>
      </c>
      <c r="D30" s="25">
        <v>32</v>
      </c>
      <c r="E30" s="1">
        <f t="shared" si="0"/>
        <v>2752</v>
      </c>
      <c r="F30" s="1"/>
      <c r="G30" s="1"/>
      <c r="H30" s="22" t="s">
        <v>117</v>
      </c>
      <c r="I30" s="1"/>
      <c r="J30" s="1"/>
    </row>
    <row r="31" spans="2:11" x14ac:dyDescent="0.25">
      <c r="B31" s="20" t="s">
        <v>144</v>
      </c>
      <c r="C31" s="34">
        <v>24</v>
      </c>
      <c r="D31" s="25">
        <v>32</v>
      </c>
      <c r="E31" s="1">
        <f t="shared" si="0"/>
        <v>768</v>
      </c>
      <c r="F31" s="1"/>
      <c r="G31" s="1"/>
      <c r="H31" s="34">
        <v>24</v>
      </c>
      <c r="I31" s="1">
        <v>20</v>
      </c>
      <c r="J31" s="1">
        <f>H31*I31</f>
        <v>480</v>
      </c>
    </row>
    <row r="32" spans="2:11" x14ac:dyDescent="0.25">
      <c r="B32" s="20" t="s">
        <v>9</v>
      </c>
      <c r="C32" s="36">
        <v>343</v>
      </c>
      <c r="D32" s="25">
        <v>26</v>
      </c>
      <c r="E32" s="1">
        <f t="shared" si="0"/>
        <v>8918</v>
      </c>
      <c r="F32" s="1"/>
      <c r="G32" s="1"/>
      <c r="H32" s="37"/>
      <c r="I32" s="1"/>
      <c r="J32" s="1"/>
    </row>
    <row r="33" spans="2:11" ht="15.75" thickBot="1" x14ac:dyDescent="0.3">
      <c r="B33" s="20" t="s">
        <v>120</v>
      </c>
      <c r="C33" s="35">
        <v>270</v>
      </c>
      <c r="D33" s="25">
        <v>20</v>
      </c>
      <c r="E33" s="1">
        <f t="shared" si="0"/>
        <v>5400</v>
      </c>
      <c r="F33" s="1"/>
      <c r="G33" s="1"/>
      <c r="H33" s="35"/>
      <c r="I33" s="1"/>
      <c r="J33" s="1"/>
    </row>
    <row r="34" spans="2:11" x14ac:dyDescent="0.25">
      <c r="C34" s="22"/>
      <c r="D34" s="22"/>
      <c r="E34" s="22"/>
      <c r="F34" s="1"/>
      <c r="G34" s="1"/>
      <c r="H34" s="21"/>
      <c r="I34" s="1"/>
      <c r="J34" s="1"/>
      <c r="K34" s="1"/>
    </row>
    <row r="35" spans="2:11" x14ac:dyDescent="0.25">
      <c r="B35" s="20" t="s">
        <v>141</v>
      </c>
      <c r="C35" s="22">
        <f>SUM(C23:C34)</f>
        <v>1922.4</v>
      </c>
      <c r="D35" s="22"/>
      <c r="E35" s="22">
        <f>SUM(E23:E34)</f>
        <v>56218.8</v>
      </c>
      <c r="F35" s="1"/>
      <c r="G35" s="1"/>
      <c r="H35" s="21">
        <f>SUM(H26:H34)</f>
        <v>754.5131094573029</v>
      </c>
      <c r="I35" s="1"/>
      <c r="J35" s="22">
        <f>SUM(J23:J34)</f>
        <v>15090.262189146059</v>
      </c>
      <c r="K35" s="1"/>
    </row>
    <row r="36" spans="2:11" x14ac:dyDescent="0.25">
      <c r="C36" s="22"/>
      <c r="D36" s="22"/>
      <c r="E36" s="22"/>
      <c r="F36" s="1" t="s">
        <v>149</v>
      </c>
      <c r="G36" s="1"/>
      <c r="H36" s="21"/>
      <c r="I36" s="1"/>
      <c r="J36" s="22">
        <f>E35-J35</f>
        <v>41128.537810853944</v>
      </c>
      <c r="K36" s="1"/>
    </row>
    <row r="37" spans="2:11" x14ac:dyDescent="0.25">
      <c r="C37" s="22"/>
      <c r="D37" s="22"/>
      <c r="E37" s="22"/>
      <c r="F37" s="1" t="s">
        <v>152</v>
      </c>
      <c r="G37" s="1"/>
      <c r="H37" s="21">
        <f>567*2</f>
        <v>1134</v>
      </c>
      <c r="I37" s="1">
        <v>33</v>
      </c>
      <c r="J37" s="22">
        <f>H37*I37</f>
        <v>37422</v>
      </c>
      <c r="K37" s="1"/>
    </row>
    <row r="38" spans="2:11" x14ac:dyDescent="0.25">
      <c r="C38" s="22"/>
      <c r="D38" s="22"/>
      <c r="E38" s="22"/>
      <c r="F38" s="1" t="s">
        <v>150</v>
      </c>
      <c r="G38" s="1"/>
      <c r="H38" s="21">
        <f>I38*C19</f>
        <v>202.62407407407406</v>
      </c>
      <c r="I38" s="1">
        <v>33</v>
      </c>
      <c r="J38" s="22">
        <f>H38*I38/2</f>
        <v>3343.297222222222</v>
      </c>
      <c r="K38" s="1"/>
    </row>
    <row r="39" spans="2:11" x14ac:dyDescent="0.25">
      <c r="C39" s="22"/>
      <c r="D39" s="22"/>
      <c r="E39" s="22"/>
      <c r="F39" s="1" t="s">
        <v>153</v>
      </c>
      <c r="G39" s="1"/>
      <c r="H39" s="21"/>
      <c r="I39" s="1"/>
      <c r="J39" s="22">
        <f>J37+J38</f>
        <v>40765.297222222223</v>
      </c>
      <c r="K39" s="1"/>
    </row>
    <row r="40" spans="2:11" x14ac:dyDescent="0.25">
      <c r="C40" s="22"/>
      <c r="D40" s="22"/>
      <c r="E40" s="22"/>
      <c r="F40" s="1"/>
      <c r="G40" s="1"/>
      <c r="H40" s="21">
        <f>SUM(H35:H39)</f>
        <v>2091.1371835313771</v>
      </c>
      <c r="I40" s="1"/>
      <c r="J40" s="22"/>
      <c r="K40" s="1"/>
    </row>
    <row r="41" spans="2:11" x14ac:dyDescent="0.25">
      <c r="F41" s="20" t="s">
        <v>127</v>
      </c>
      <c r="G41" s="22">
        <f>G67</f>
        <v>451.79221543256563</v>
      </c>
      <c r="H41" s="21"/>
      <c r="I41" s="1"/>
      <c r="J41" s="1"/>
      <c r="K41" s="1"/>
    </row>
    <row r="42" spans="2:11" x14ac:dyDescent="0.25">
      <c r="F42" s="20" t="s">
        <v>138</v>
      </c>
      <c r="G42" s="22">
        <f>C53*C17</f>
        <v>377.12757203526178</v>
      </c>
      <c r="H42" s="21"/>
      <c r="I42" s="1"/>
      <c r="J42" s="1"/>
      <c r="K42" s="1"/>
    </row>
    <row r="43" spans="2:11" x14ac:dyDescent="0.25">
      <c r="F43" s="20" t="s">
        <v>116</v>
      </c>
      <c r="G43" s="22">
        <v>1163.6587497137291</v>
      </c>
      <c r="H43" s="21"/>
      <c r="I43" s="1"/>
      <c r="J43" s="1"/>
      <c r="K43" s="1"/>
    </row>
    <row r="44" spans="2:11" x14ac:dyDescent="0.25">
      <c r="F44" s="20"/>
      <c r="G44" s="22"/>
      <c r="H44" s="21"/>
      <c r="I44" s="1"/>
      <c r="J44" s="1"/>
      <c r="K44" s="1"/>
    </row>
    <row r="45" spans="2:11" x14ac:dyDescent="0.25">
      <c r="C45" s="1"/>
      <c r="D45" s="1"/>
      <c r="E45" s="1"/>
      <c r="F45" s="1" t="s">
        <v>140</v>
      </c>
      <c r="G45" s="1">
        <f>C35+H35+G41+G42+G43</f>
        <v>4669.4916466388595</v>
      </c>
      <c r="I45" s="1"/>
      <c r="J45" s="1"/>
      <c r="K45">
        <f>SUM(K22:K34)</f>
        <v>0</v>
      </c>
    </row>
    <row r="46" spans="2:11" x14ac:dyDescent="0.25">
      <c r="C46" s="1"/>
      <c r="D46" s="1"/>
      <c r="E46" s="1"/>
      <c r="F46" s="1"/>
      <c r="G46" s="1"/>
      <c r="I46" s="1"/>
      <c r="J46" s="1"/>
    </row>
    <row r="47" spans="2:11" x14ac:dyDescent="0.25">
      <c r="C47" s="1"/>
      <c r="D47" s="1"/>
      <c r="E47" s="1"/>
      <c r="F47" s="1"/>
      <c r="G47" s="1"/>
      <c r="I47" s="1"/>
      <c r="J47" s="1"/>
    </row>
    <row r="48" spans="2:11" x14ac:dyDescent="0.25">
      <c r="C48" s="1"/>
      <c r="D48" s="1"/>
      <c r="E48" s="1"/>
      <c r="F48" s="1"/>
      <c r="G48" s="1"/>
      <c r="I48" s="1"/>
      <c r="J48" s="1"/>
    </row>
    <row r="50" spans="2:8" x14ac:dyDescent="0.25">
      <c r="B50" s="2" t="s">
        <v>128</v>
      </c>
      <c r="F50" s="2" t="s">
        <v>136</v>
      </c>
    </row>
    <row r="51" spans="2:8" x14ac:dyDescent="0.25">
      <c r="B51"/>
    </row>
    <row r="52" spans="2:8" x14ac:dyDescent="0.25">
      <c r="B52" t="s">
        <v>102</v>
      </c>
      <c r="C52">
        <v>28</v>
      </c>
      <c r="F52" t="s">
        <v>102</v>
      </c>
      <c r="G52">
        <v>28</v>
      </c>
      <c r="H52">
        <f>G52/2.54</f>
        <v>11.023622047244094</v>
      </c>
    </row>
    <row r="53" spans="2:8" x14ac:dyDescent="0.25">
      <c r="B53" t="s">
        <v>103</v>
      </c>
      <c r="C53">
        <f>PI()*(C52/2)^2</f>
        <v>615.75216010359941</v>
      </c>
      <c r="F53" t="s">
        <v>103</v>
      </c>
      <c r="G53">
        <f>PI()*(G52/2)^2</f>
        <v>615.75216010359941</v>
      </c>
    </row>
    <row r="54" spans="2:8" x14ac:dyDescent="0.25">
      <c r="B54"/>
    </row>
    <row r="55" spans="2:8" x14ac:dyDescent="0.25">
      <c r="B55" t="s">
        <v>104</v>
      </c>
      <c r="C55">
        <v>6</v>
      </c>
      <c r="F55" t="s">
        <v>104</v>
      </c>
      <c r="G55">
        <v>2.54</v>
      </c>
    </row>
    <row r="56" spans="2:8" x14ac:dyDescent="0.25">
      <c r="B56" t="s">
        <v>105</v>
      </c>
      <c r="C56">
        <f>C55*C52</f>
        <v>168</v>
      </c>
      <c r="F56" t="s">
        <v>105</v>
      </c>
      <c r="G56">
        <f>G55*G52</f>
        <v>71.12</v>
      </c>
    </row>
    <row r="57" spans="2:8" x14ac:dyDescent="0.25">
      <c r="B57"/>
    </row>
    <row r="58" spans="2:8" x14ac:dyDescent="0.25">
      <c r="B58" t="s">
        <v>106</v>
      </c>
      <c r="C58">
        <f>5*4.5</f>
        <v>22.5</v>
      </c>
      <c r="F58" t="s">
        <v>129</v>
      </c>
      <c r="G58">
        <f>((7.5/2)^2)*PI()</f>
        <v>44.178646691106465</v>
      </c>
    </row>
    <row r="59" spans="2:8" x14ac:dyDescent="0.25">
      <c r="B59" t="s">
        <v>107</v>
      </c>
      <c r="C59">
        <f>6*4</f>
        <v>24</v>
      </c>
      <c r="F59" t="s">
        <v>130</v>
      </c>
      <c r="G59">
        <f>3*7.5</f>
        <v>22.5</v>
      </c>
    </row>
    <row r="60" spans="2:8" x14ac:dyDescent="0.25">
      <c r="B60"/>
      <c r="F60" t="s">
        <v>131</v>
      </c>
      <c r="G60">
        <f>G58-G59</f>
        <v>21.678646691106465</v>
      </c>
    </row>
    <row r="61" spans="2:8" x14ac:dyDescent="0.25">
      <c r="B61" t="s">
        <v>51</v>
      </c>
      <c r="C61">
        <f>C53-C56-C58-C59</f>
        <v>401.25216010359941</v>
      </c>
    </row>
    <row r="62" spans="2:8" x14ac:dyDescent="0.25">
      <c r="B62"/>
      <c r="F62" t="s">
        <v>132</v>
      </c>
      <c r="G62">
        <v>9</v>
      </c>
    </row>
    <row r="63" spans="2:8" x14ac:dyDescent="0.25">
      <c r="B63" t="s">
        <v>108</v>
      </c>
      <c r="C63">
        <f>G45</f>
        <v>4669.4916466388595</v>
      </c>
    </row>
    <row r="64" spans="2:8" x14ac:dyDescent="0.25">
      <c r="B64" t="s">
        <v>87</v>
      </c>
      <c r="C64">
        <f>C63/C61</f>
        <v>11.63729971056914</v>
      </c>
      <c r="F64" t="s">
        <v>133</v>
      </c>
      <c r="G64">
        <f>G53-G56-G60-G62</f>
        <v>513.95351341249295</v>
      </c>
    </row>
    <row r="65" spans="1:9" x14ac:dyDescent="0.25">
      <c r="B65" t="s">
        <v>109</v>
      </c>
      <c r="C65">
        <f>C64/2.54</f>
        <v>4.5816140592791887</v>
      </c>
      <c r="F65" t="s">
        <v>134</v>
      </c>
      <c r="G65">
        <f>3*2.54</f>
        <v>7.62</v>
      </c>
    </row>
    <row r="66" spans="1:9" x14ac:dyDescent="0.25">
      <c r="F66" t="s">
        <v>135</v>
      </c>
      <c r="G66">
        <f>G64*G65</f>
        <v>3916.3257722031963</v>
      </c>
    </row>
    <row r="67" spans="1:9" x14ac:dyDescent="0.25">
      <c r="F67" t="s">
        <v>142</v>
      </c>
      <c r="G67">
        <f>C16*G66</f>
        <v>451.79221543256563</v>
      </c>
    </row>
    <row r="70" spans="1:9" ht="15.75" thickBot="1" x14ac:dyDescent="0.3"/>
    <row r="71" spans="1:9" x14ac:dyDescent="0.25">
      <c r="A71">
        <f>2.5*2.5*PI()*12</f>
        <v>235.61944901923448</v>
      </c>
      <c r="F71" s="4" t="s">
        <v>66</v>
      </c>
      <c r="G71" s="27"/>
      <c r="H71" s="6"/>
    </row>
    <row r="72" spans="1:9" x14ac:dyDescent="0.25">
      <c r="F72" s="28" t="s">
        <v>75</v>
      </c>
      <c r="G72" s="13">
        <v>11</v>
      </c>
      <c r="H72" s="9"/>
    </row>
    <row r="73" spans="1:9" x14ac:dyDescent="0.25">
      <c r="F73" s="28" t="s">
        <v>74</v>
      </c>
      <c r="G73" s="13">
        <f>PI()*G72^2</f>
        <v>380.13271108436498</v>
      </c>
      <c r="H73" s="9"/>
    </row>
    <row r="74" spans="1:9" x14ac:dyDescent="0.25">
      <c r="F74" s="28" t="s">
        <v>76</v>
      </c>
      <c r="G74" s="13">
        <v>10</v>
      </c>
      <c r="H74" s="9"/>
    </row>
    <row r="75" spans="1:9" x14ac:dyDescent="0.25">
      <c r="F75" s="28" t="s">
        <v>143</v>
      </c>
      <c r="G75" s="13">
        <f>G73*G74</f>
        <v>3801.3271108436497</v>
      </c>
      <c r="H75" s="9"/>
    </row>
    <row r="78" spans="1:9" x14ac:dyDescent="0.25">
      <c r="C78" t="s">
        <v>154</v>
      </c>
      <c r="F78" s="24" t="s">
        <v>159</v>
      </c>
      <c r="G78">
        <f>184/30</f>
        <v>6.1333333333333337</v>
      </c>
      <c r="H78" t="s">
        <v>56</v>
      </c>
    </row>
    <row r="79" spans="1:9" ht="15.75" thickBot="1" x14ac:dyDescent="0.3"/>
    <row r="80" spans="1:9" x14ac:dyDescent="0.25">
      <c r="F80" s="4"/>
      <c r="G80" s="39" t="s">
        <v>157</v>
      </c>
      <c r="H80" s="39" t="s">
        <v>158</v>
      </c>
      <c r="I80" s="40" t="s">
        <v>145</v>
      </c>
    </row>
    <row r="81" spans="6:11" x14ac:dyDescent="0.25">
      <c r="F81" s="7" t="s">
        <v>167</v>
      </c>
      <c r="G81" s="41">
        <v>1882.5</v>
      </c>
      <c r="H81" s="41">
        <f>G82-6</f>
        <v>24</v>
      </c>
      <c r="I81" s="42">
        <f>G81*H81</f>
        <v>45180</v>
      </c>
    </row>
    <row r="82" spans="6:11" x14ac:dyDescent="0.25">
      <c r="F82" s="7" t="s">
        <v>161</v>
      </c>
      <c r="G82" s="41">
        <v>30</v>
      </c>
      <c r="H82" s="41"/>
      <c r="I82" s="42"/>
    </row>
    <row r="83" spans="6:11" x14ac:dyDescent="0.25">
      <c r="F83" s="7" t="s">
        <v>160</v>
      </c>
      <c r="G83" s="41">
        <f>G82*G78</f>
        <v>184</v>
      </c>
      <c r="H83" s="41">
        <f>G82/2-3.5</f>
        <v>11.5</v>
      </c>
      <c r="I83" s="42">
        <f>G83*H83</f>
        <v>2116</v>
      </c>
    </row>
    <row r="84" spans="6:11" x14ac:dyDescent="0.25">
      <c r="F84" s="7" t="s">
        <v>162</v>
      </c>
      <c r="G84" s="41"/>
      <c r="H84" s="41"/>
      <c r="I84" s="42">
        <f>I81+I83</f>
        <v>47296</v>
      </c>
    </row>
    <row r="85" spans="6:11" x14ac:dyDescent="0.25">
      <c r="F85" s="7"/>
      <c r="G85" s="41"/>
      <c r="H85" s="41"/>
      <c r="I85" s="42"/>
    </row>
    <row r="86" spans="6:11" x14ac:dyDescent="0.25">
      <c r="F86" s="7" t="s">
        <v>163</v>
      </c>
      <c r="G86" s="41">
        <v>939</v>
      </c>
      <c r="H86" s="41">
        <v>20</v>
      </c>
      <c r="I86" s="42"/>
      <c r="K86">
        <f>I86/24</f>
        <v>0</v>
      </c>
    </row>
    <row r="87" spans="6:11" x14ac:dyDescent="0.25">
      <c r="F87" s="7"/>
      <c r="G87" s="41"/>
      <c r="H87" s="41"/>
      <c r="I87" s="42"/>
    </row>
    <row r="88" spans="6:11" ht="15.75" thickBot="1" x14ac:dyDescent="0.3">
      <c r="F88" s="14" t="s">
        <v>164</v>
      </c>
      <c r="G88" s="43"/>
      <c r="H88" s="43"/>
      <c r="I88" s="44">
        <f>I84+I86</f>
        <v>47296</v>
      </c>
      <c r="J88">
        <v>47300</v>
      </c>
    </row>
    <row r="90" spans="6:11" ht="15.75" thickBot="1" x14ac:dyDescent="0.3"/>
    <row r="91" spans="6:11" x14ac:dyDescent="0.25">
      <c r="F91" s="4" t="s">
        <v>165</v>
      </c>
      <c r="G91" s="39" t="s">
        <v>157</v>
      </c>
      <c r="H91" s="39" t="s">
        <v>158</v>
      </c>
      <c r="I91" s="40" t="s">
        <v>145</v>
      </c>
    </row>
    <row r="92" spans="6:11" x14ac:dyDescent="0.25">
      <c r="F92" s="7" t="s">
        <v>156</v>
      </c>
      <c r="G92" s="41">
        <v>4631</v>
      </c>
      <c r="H92" s="41">
        <f>G93-6</f>
        <v>11</v>
      </c>
      <c r="I92" s="42">
        <f>G92*H92</f>
        <v>50941</v>
      </c>
    </row>
    <row r="93" spans="6:11" x14ac:dyDescent="0.25">
      <c r="F93" s="7" t="s">
        <v>161</v>
      </c>
      <c r="G93" s="45">
        <v>17</v>
      </c>
      <c r="H93" s="41"/>
      <c r="I93" s="42"/>
    </row>
    <row r="94" spans="6:11" x14ac:dyDescent="0.25">
      <c r="F94" s="7" t="s">
        <v>155</v>
      </c>
      <c r="G94" s="41">
        <f>G93*G78</f>
        <v>104.26666666666668</v>
      </c>
      <c r="H94" s="41">
        <f>G93/2-3.5</f>
        <v>5</v>
      </c>
      <c r="I94" s="42">
        <f>G94*H94</f>
        <v>521.33333333333337</v>
      </c>
    </row>
    <row r="95" spans="6:11" x14ac:dyDescent="0.25">
      <c r="F95" s="7" t="s">
        <v>162</v>
      </c>
      <c r="G95" s="41"/>
      <c r="H95" s="41"/>
      <c r="I95" s="42">
        <f>I92+I94</f>
        <v>51462.333333333336</v>
      </c>
    </row>
    <row r="96" spans="6:11" x14ac:dyDescent="0.25">
      <c r="F96" s="7"/>
      <c r="G96" s="41"/>
      <c r="H96" s="41"/>
      <c r="I96" s="42"/>
    </row>
    <row r="97" spans="6:11" x14ac:dyDescent="0.25">
      <c r="F97" s="7" t="s">
        <v>163</v>
      </c>
      <c r="G97" s="41"/>
      <c r="H97" s="41"/>
      <c r="I97" s="42"/>
    </row>
    <row r="98" spans="6:11" x14ac:dyDescent="0.25">
      <c r="F98" s="7"/>
      <c r="G98" s="41"/>
      <c r="H98" s="41"/>
      <c r="I98" s="42"/>
    </row>
    <row r="99" spans="6:11" ht="15.75" thickBot="1" x14ac:dyDescent="0.3">
      <c r="F99" s="14" t="s">
        <v>164</v>
      </c>
      <c r="G99" s="43"/>
      <c r="H99" s="43"/>
      <c r="I99" s="44">
        <f>I95+I97</f>
        <v>51462.333333333336</v>
      </c>
    </row>
    <row r="101" spans="6:11" ht="15.75" thickBot="1" x14ac:dyDescent="0.3"/>
    <row r="102" spans="6:11" x14ac:dyDescent="0.25">
      <c r="F102" s="4" t="s">
        <v>166</v>
      </c>
      <c r="G102" s="39" t="s">
        <v>157</v>
      </c>
      <c r="H102" s="39" t="s">
        <v>158</v>
      </c>
      <c r="I102" s="40" t="s">
        <v>145</v>
      </c>
    </row>
    <row r="103" spans="6:11" x14ac:dyDescent="0.25">
      <c r="F103" s="7" t="s">
        <v>156</v>
      </c>
      <c r="G103" s="41">
        <v>700</v>
      </c>
      <c r="H103" s="41">
        <f>G104-6</f>
        <v>54</v>
      </c>
      <c r="I103" s="42">
        <f>G103*H103</f>
        <v>37800</v>
      </c>
      <c r="K103">
        <f>700-531-38</f>
        <v>131</v>
      </c>
    </row>
    <row r="104" spans="6:11" x14ac:dyDescent="0.25">
      <c r="F104" s="7" t="s">
        <v>161</v>
      </c>
      <c r="G104" s="45">
        <v>60</v>
      </c>
      <c r="H104" s="41"/>
      <c r="I104" s="42"/>
    </row>
    <row r="105" spans="6:11" x14ac:dyDescent="0.25">
      <c r="F105" s="7" t="s">
        <v>155</v>
      </c>
      <c r="G105" s="41">
        <f>G104*G78</f>
        <v>368</v>
      </c>
      <c r="H105" s="41">
        <f>G104/2-3.5</f>
        <v>26.5</v>
      </c>
      <c r="I105" s="42">
        <f>G105*H105</f>
        <v>9752</v>
      </c>
    </row>
    <row r="106" spans="6:11" x14ac:dyDescent="0.25">
      <c r="F106" s="7" t="s">
        <v>162</v>
      </c>
      <c r="G106" s="41"/>
      <c r="H106" s="41"/>
      <c r="I106" s="42">
        <f>I103+I105</f>
        <v>47552</v>
      </c>
    </row>
    <row r="107" spans="6:11" x14ac:dyDescent="0.25">
      <c r="F107" s="7"/>
      <c r="G107" s="41"/>
      <c r="H107" s="41"/>
      <c r="I107" s="42"/>
    </row>
    <row r="108" spans="6:11" x14ac:dyDescent="0.25">
      <c r="F108" s="7" t="s">
        <v>163</v>
      </c>
      <c r="G108" s="41"/>
      <c r="H108" s="41"/>
      <c r="I108" s="42"/>
    </row>
    <row r="109" spans="6:11" x14ac:dyDescent="0.25">
      <c r="F109" s="7"/>
      <c r="G109" s="41"/>
      <c r="H109" s="41"/>
      <c r="I109" s="42"/>
    </row>
    <row r="110" spans="6:11" ht="15.75" thickBot="1" x14ac:dyDescent="0.3">
      <c r="F110" s="14" t="s">
        <v>164</v>
      </c>
      <c r="G110" s="43"/>
      <c r="H110" s="43"/>
      <c r="I110" s="44">
        <f>I106+I108</f>
        <v>47552</v>
      </c>
    </row>
    <row r="122" spans="2:5" x14ac:dyDescent="0.25">
      <c r="C122" t="s">
        <v>168</v>
      </c>
      <c r="D122" s="1" t="s">
        <v>169</v>
      </c>
    </row>
    <row r="123" spans="2:5" x14ac:dyDescent="0.25">
      <c r="C123">
        <f>1190.8+170.4</f>
        <v>1361.2</v>
      </c>
      <c r="D123">
        <v>15.5</v>
      </c>
      <c r="E123">
        <f>C123*D123</f>
        <v>21098.600000000002</v>
      </c>
    </row>
    <row r="125" spans="2:5" x14ac:dyDescent="0.25">
      <c r="C125" t="s">
        <v>171</v>
      </c>
    </row>
    <row r="126" spans="2:5" x14ac:dyDescent="0.25">
      <c r="C126">
        <v>1106.5999999999999</v>
      </c>
      <c r="D126">
        <f>D123+D128</f>
        <v>19.066148563166458</v>
      </c>
      <c r="E126">
        <f>C126*D126</f>
        <v>21098.6</v>
      </c>
    </row>
    <row r="128" spans="2:5" x14ac:dyDescent="0.25">
      <c r="B128" s="18" t="s">
        <v>170</v>
      </c>
      <c r="C128">
        <f>C123-C126</f>
        <v>254.60000000000014</v>
      </c>
      <c r="D128">
        <f>(C128*D123)/(C123-C128)</f>
        <v>3.566148563166458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41" workbookViewId="0">
      <selection activeCell="G27" sqref="G27:I31"/>
    </sheetView>
  </sheetViews>
  <sheetFormatPr defaultRowHeight="15" x14ac:dyDescent="0.25"/>
  <cols>
    <col min="2" max="2" width="26.7109375" customWidth="1"/>
    <col min="7" max="7" width="28.28515625" customWidth="1"/>
    <col min="9" max="9" width="13.42578125" customWidth="1"/>
  </cols>
  <sheetData>
    <row r="1" spans="1:11" x14ac:dyDescent="0.25">
      <c r="A1" t="s">
        <v>0</v>
      </c>
      <c r="C1" s="1"/>
      <c r="D1" s="1"/>
      <c r="E1" s="1"/>
      <c r="H1" s="1"/>
      <c r="I1" s="1"/>
    </row>
    <row r="2" spans="1:11" x14ac:dyDescent="0.25">
      <c r="C2" s="1"/>
      <c r="D2" s="1"/>
      <c r="E2" s="1"/>
      <c r="H2" s="1"/>
      <c r="I2" s="1"/>
    </row>
    <row r="3" spans="1:11" ht="21" x14ac:dyDescent="0.35">
      <c r="B3" s="17" t="s">
        <v>1</v>
      </c>
      <c r="C3" s="1"/>
      <c r="D3" s="1"/>
      <c r="E3" s="1"/>
      <c r="H3" s="1"/>
      <c r="I3" s="1"/>
    </row>
    <row r="4" spans="1:11" x14ac:dyDescent="0.25">
      <c r="A4" s="2"/>
      <c r="B4" s="2" t="s">
        <v>2</v>
      </c>
      <c r="C4" s="3" t="s">
        <v>13</v>
      </c>
      <c r="D4" s="3"/>
      <c r="E4" s="3"/>
      <c r="F4" s="2"/>
      <c r="G4" s="2" t="s">
        <v>6</v>
      </c>
      <c r="H4" s="3" t="s">
        <v>4</v>
      </c>
      <c r="I4" s="3"/>
      <c r="J4" s="2"/>
      <c r="K4" s="2"/>
    </row>
    <row r="5" spans="1:11" x14ac:dyDescent="0.25">
      <c r="B5" t="s">
        <v>3</v>
      </c>
      <c r="C5" s="1">
        <v>553</v>
      </c>
      <c r="D5" s="1"/>
      <c r="E5" s="1"/>
      <c r="G5" t="s">
        <v>3</v>
      </c>
      <c r="H5" s="1">
        <v>553</v>
      </c>
      <c r="I5" s="1"/>
      <c r="J5" s="1"/>
    </row>
    <row r="6" spans="1:11" x14ac:dyDescent="0.25">
      <c r="C6" s="1"/>
      <c r="D6" s="1"/>
      <c r="E6" s="1"/>
      <c r="H6" s="1"/>
      <c r="I6" s="1"/>
    </row>
    <row r="7" spans="1:11" x14ac:dyDescent="0.25">
      <c r="B7" t="s">
        <v>58</v>
      </c>
      <c r="C7" s="1"/>
      <c r="D7" s="1"/>
      <c r="E7" s="1"/>
      <c r="H7" s="1"/>
      <c r="I7" s="1"/>
    </row>
    <row r="8" spans="1:11" x14ac:dyDescent="0.25">
      <c r="C8" s="1"/>
      <c r="D8" s="1"/>
      <c r="E8" s="1"/>
      <c r="H8" s="1"/>
      <c r="I8" s="1"/>
    </row>
    <row r="9" spans="1:11" x14ac:dyDescent="0.25">
      <c r="C9" s="1"/>
      <c r="D9" s="1"/>
      <c r="E9" s="1"/>
      <c r="H9" s="1"/>
      <c r="I9" s="1"/>
    </row>
    <row r="10" spans="1:11" x14ac:dyDescent="0.25">
      <c r="C10" s="1"/>
      <c r="D10" s="1"/>
      <c r="E10" s="1">
        <f>657/61</f>
        <v>10.770491803278688</v>
      </c>
      <c r="H10" s="1"/>
      <c r="I10" s="1"/>
    </row>
    <row r="11" spans="1:11" ht="21" x14ac:dyDescent="0.35">
      <c r="B11" s="17" t="s">
        <v>54</v>
      </c>
      <c r="C11" s="20" t="s">
        <v>57</v>
      </c>
      <c r="D11" s="1"/>
      <c r="E11" s="1">
        <f>393.4/36.8</f>
        <v>10.690217391304348</v>
      </c>
      <c r="F11" t="s">
        <v>56</v>
      </c>
      <c r="G11" t="s">
        <v>78</v>
      </c>
      <c r="H11" s="1">
        <f>(3.5*454)/(12^3*2.54^3)</f>
        <v>5.6115005420445375E-2</v>
      </c>
      <c r="I11" s="1" t="s">
        <v>79</v>
      </c>
    </row>
    <row r="12" spans="1:11" x14ac:dyDescent="0.25">
      <c r="C12" s="1"/>
      <c r="D12" s="1"/>
      <c r="E12" s="1"/>
      <c r="H12" s="1"/>
      <c r="I12" s="1"/>
    </row>
    <row r="13" spans="1:11" x14ac:dyDescent="0.25">
      <c r="B13" t="s">
        <v>3</v>
      </c>
      <c r="C13" s="1">
        <v>1120</v>
      </c>
      <c r="D13" s="1"/>
      <c r="E13" s="1"/>
      <c r="G13" t="s">
        <v>3</v>
      </c>
      <c r="H13" s="1">
        <v>1120</v>
      </c>
      <c r="I13" s="1"/>
      <c r="J13" s="1"/>
    </row>
    <row r="14" spans="1:11" x14ac:dyDescent="0.25">
      <c r="C14" s="1"/>
      <c r="D14" s="1"/>
      <c r="E14" s="1"/>
      <c r="H14" s="1"/>
      <c r="I14" s="1"/>
      <c r="J14" s="1"/>
    </row>
    <row r="15" spans="1:11" x14ac:dyDescent="0.25">
      <c r="B15" t="s">
        <v>59</v>
      </c>
      <c r="C15" s="1">
        <f>C13-C5</f>
        <v>567</v>
      </c>
      <c r="D15" s="1"/>
      <c r="E15" s="1"/>
      <c r="G15" t="s">
        <v>59</v>
      </c>
      <c r="H15" s="1">
        <v>567</v>
      </c>
      <c r="I15" s="1"/>
      <c r="J15" s="1"/>
    </row>
    <row r="16" spans="1:11" x14ac:dyDescent="0.25">
      <c r="B16" t="s">
        <v>55</v>
      </c>
      <c r="C16" s="1">
        <v>200</v>
      </c>
      <c r="D16" s="1"/>
      <c r="E16" s="1"/>
      <c r="H16" s="1"/>
      <c r="I16" s="1"/>
      <c r="J16" s="1"/>
    </row>
    <row r="17" spans="1:10" x14ac:dyDescent="0.25">
      <c r="B17" t="s">
        <v>60</v>
      </c>
      <c r="C17" s="1">
        <v>50</v>
      </c>
      <c r="D17" s="1"/>
      <c r="E17" s="1"/>
      <c r="H17" s="1"/>
      <c r="I17" s="1"/>
      <c r="J17" s="1"/>
    </row>
    <row r="18" spans="1:10" x14ac:dyDescent="0.25">
      <c r="B18" t="s">
        <v>97</v>
      </c>
      <c r="C18" s="1">
        <v>680</v>
      </c>
      <c r="D18" s="1"/>
      <c r="E18" s="1"/>
      <c r="G18" t="s">
        <v>97</v>
      </c>
      <c r="H18" s="1">
        <v>680</v>
      </c>
      <c r="I18" s="1"/>
      <c r="J18" s="1"/>
    </row>
    <row r="19" spans="1:10" x14ac:dyDescent="0.25">
      <c r="C19" s="1"/>
      <c r="D19" s="1"/>
      <c r="E19" s="1"/>
      <c r="H19" s="1"/>
      <c r="I19" s="1"/>
      <c r="J19" s="1"/>
    </row>
    <row r="20" spans="1:10" x14ac:dyDescent="0.25">
      <c r="C20" s="1"/>
      <c r="D20" s="1"/>
      <c r="E20" s="1"/>
      <c r="H20" s="1"/>
      <c r="I20" s="1"/>
      <c r="J20" s="1"/>
    </row>
    <row r="21" spans="1:10" x14ac:dyDescent="0.25">
      <c r="B21" t="s">
        <v>118</v>
      </c>
      <c r="C21" s="1">
        <f>31*10.7</f>
        <v>331.7</v>
      </c>
      <c r="D21" s="1"/>
      <c r="E21" s="1"/>
      <c r="G21" t="s">
        <v>118</v>
      </c>
      <c r="H21" s="1">
        <f>C21</f>
        <v>331.7</v>
      </c>
      <c r="I21" s="1"/>
      <c r="J21" s="1"/>
    </row>
    <row r="22" spans="1:10" x14ac:dyDescent="0.25">
      <c r="B22" t="s">
        <v>72</v>
      </c>
      <c r="C22" s="1">
        <f>H31*H11/2</f>
        <v>106.65574571493867</v>
      </c>
      <c r="D22" s="1"/>
      <c r="E22" s="1"/>
      <c r="G22" t="s">
        <v>72</v>
      </c>
      <c r="H22" s="1">
        <f>C22</f>
        <v>106.65574571493867</v>
      </c>
      <c r="I22" s="1"/>
      <c r="J22" s="1"/>
    </row>
    <row r="23" spans="1:10" x14ac:dyDescent="0.25">
      <c r="B23" t="s">
        <v>73</v>
      </c>
      <c r="C23" s="1">
        <f>(2.54/4)*27.5*10*1</f>
        <v>174.625</v>
      </c>
      <c r="D23" s="1"/>
      <c r="E23" s="1"/>
      <c r="G23" t="s">
        <v>73</v>
      </c>
      <c r="H23" s="1">
        <f>(2.54/4)*27.5*10*1</f>
        <v>174.625</v>
      </c>
      <c r="I23" s="1"/>
      <c r="J23" s="1"/>
    </row>
    <row r="24" spans="1:10" x14ac:dyDescent="0.25">
      <c r="C24" s="1"/>
      <c r="D24" s="1"/>
      <c r="E24" s="1"/>
      <c r="H24" s="1"/>
      <c r="I24" s="1"/>
      <c r="J24" s="1"/>
    </row>
    <row r="25" spans="1:10" x14ac:dyDescent="0.25">
      <c r="B25" t="s">
        <v>61</v>
      </c>
      <c r="C25" s="1">
        <f>SUM(C15:C23)</f>
        <v>2109.9807457149386</v>
      </c>
      <c r="D25" s="1"/>
      <c r="E25" s="1"/>
      <c r="G25" t="s">
        <v>32</v>
      </c>
      <c r="H25" s="1">
        <f>SUM(H15:H23)</f>
        <v>1859.9807457149386</v>
      </c>
      <c r="I25" s="1"/>
      <c r="J25" s="1"/>
    </row>
    <row r="26" spans="1:10" ht="15.75" thickBot="1" x14ac:dyDescent="0.3">
      <c r="C26" s="1"/>
      <c r="D26" s="1"/>
      <c r="E26" s="1"/>
      <c r="H26" s="1"/>
      <c r="I26" s="1"/>
    </row>
    <row r="27" spans="1:10" x14ac:dyDescent="0.25">
      <c r="B27" t="s">
        <v>62</v>
      </c>
      <c r="C27" s="1">
        <f>C25+H25</f>
        <v>3969.9614914298772</v>
      </c>
      <c r="D27" s="1"/>
      <c r="E27" s="1"/>
      <c r="G27" s="4" t="s">
        <v>66</v>
      </c>
      <c r="H27" s="27"/>
      <c r="I27" s="6"/>
    </row>
    <row r="28" spans="1:10" x14ac:dyDescent="0.25">
      <c r="B28" t="s">
        <v>63</v>
      </c>
      <c r="C28" s="1">
        <v>2200</v>
      </c>
      <c r="E28" s="1"/>
      <c r="F28" s="21"/>
      <c r="G28" s="28" t="s">
        <v>75</v>
      </c>
      <c r="H28" s="13">
        <v>11</v>
      </c>
      <c r="I28" s="9"/>
    </row>
    <row r="29" spans="1:10" x14ac:dyDescent="0.25">
      <c r="B29" t="s">
        <v>64</v>
      </c>
      <c r="C29" s="1">
        <f>SUM(C27:C28)</f>
        <v>6169.9614914298772</v>
      </c>
      <c r="D29" s="1"/>
      <c r="E29" s="1"/>
      <c r="F29" s="1"/>
      <c r="G29" s="28" t="s">
        <v>74</v>
      </c>
      <c r="H29" s="13">
        <f>PI()*H28^2</f>
        <v>380.13271108436498</v>
      </c>
      <c r="I29" s="9"/>
    </row>
    <row r="30" spans="1:10" x14ac:dyDescent="0.25">
      <c r="A30" s="26"/>
      <c r="B30" s="26" t="s">
        <v>65</v>
      </c>
      <c r="C30" s="24">
        <f>C29/2</f>
        <v>3084.9807457149386</v>
      </c>
      <c r="D30" s="25"/>
      <c r="E30" s="25"/>
      <c r="G30" s="28" t="s">
        <v>76</v>
      </c>
      <c r="H30" s="13">
        <v>10</v>
      </c>
      <c r="I30" s="9"/>
    </row>
    <row r="31" spans="1:10" x14ac:dyDescent="0.25">
      <c r="A31" s="26"/>
      <c r="D31" s="25"/>
      <c r="E31" s="25"/>
      <c r="G31" s="28" t="s">
        <v>77</v>
      </c>
      <c r="H31" s="13">
        <f>H29*H30</f>
        <v>3801.3271108436497</v>
      </c>
      <c r="I31" s="9"/>
    </row>
    <row r="32" spans="1:10" x14ac:dyDescent="0.25">
      <c r="A32" s="26"/>
      <c r="C32" t="s">
        <v>83</v>
      </c>
      <c r="D32" s="25" t="s">
        <v>84</v>
      </c>
      <c r="E32" s="25"/>
      <c r="G32" s="28"/>
      <c r="H32" s="13"/>
      <c r="I32" s="9"/>
    </row>
    <row r="33" spans="1:10" x14ac:dyDescent="0.25">
      <c r="A33" s="26"/>
      <c r="B33" s="26" t="s">
        <v>70</v>
      </c>
      <c r="C33" s="24">
        <v>26</v>
      </c>
      <c r="D33" s="25">
        <v>26</v>
      </c>
      <c r="E33" s="25"/>
      <c r="G33" s="28" t="s">
        <v>69</v>
      </c>
      <c r="H33" s="13">
        <f>6*2.54</f>
        <v>15.24</v>
      </c>
      <c r="I33" s="9"/>
    </row>
    <row r="34" spans="1:10" x14ac:dyDescent="0.25">
      <c r="A34" s="26"/>
      <c r="B34" s="26" t="s">
        <v>71</v>
      </c>
      <c r="C34">
        <v>6</v>
      </c>
      <c r="D34" s="25">
        <v>0</v>
      </c>
      <c r="E34" s="25"/>
      <c r="G34" s="28" t="s">
        <v>67</v>
      </c>
      <c r="H34" s="13">
        <f>C33</f>
        <v>26</v>
      </c>
      <c r="I34" s="9"/>
    </row>
    <row r="35" spans="1:10" x14ac:dyDescent="0.25">
      <c r="A35" s="26"/>
      <c r="B35" s="26" t="s">
        <v>80</v>
      </c>
      <c r="C35">
        <f>C33-C34</f>
        <v>20</v>
      </c>
      <c r="D35">
        <f>D33-D34</f>
        <v>26</v>
      </c>
      <c r="E35" s="25"/>
      <c r="G35" s="28"/>
      <c r="H35" s="13"/>
      <c r="I35" s="9"/>
    </row>
    <row r="36" spans="1:10" x14ac:dyDescent="0.25">
      <c r="A36" s="26"/>
      <c r="B36" s="26" t="s">
        <v>81</v>
      </c>
      <c r="C36">
        <v>2</v>
      </c>
      <c r="D36">
        <v>2</v>
      </c>
      <c r="E36" s="25"/>
      <c r="G36" s="28"/>
      <c r="H36" s="13"/>
      <c r="I36" s="9"/>
    </row>
    <row r="37" spans="1:10" ht="15.75" thickBot="1" x14ac:dyDescent="0.3">
      <c r="A37" s="26"/>
      <c r="B37" s="26" t="s">
        <v>82</v>
      </c>
      <c r="C37" s="11">
        <f>2.54*C36</f>
        <v>5.08</v>
      </c>
      <c r="D37" s="11">
        <v>2.54</v>
      </c>
      <c r="E37" s="25"/>
      <c r="G37" s="29" t="s">
        <v>68</v>
      </c>
      <c r="H37" s="15">
        <f>H31/H33/H34</f>
        <v>9.5934966455775523</v>
      </c>
      <c r="I37" s="16"/>
    </row>
    <row r="38" spans="1:10" x14ac:dyDescent="0.25">
      <c r="A38" s="26"/>
      <c r="B38" s="26" t="s">
        <v>85</v>
      </c>
      <c r="C38" s="24">
        <f>C35*C37</f>
        <v>101.6</v>
      </c>
      <c r="D38" s="24">
        <f>D35*D37</f>
        <v>66.040000000000006</v>
      </c>
      <c r="E38" s="25"/>
      <c r="H38" s="1"/>
      <c r="I38" s="1"/>
    </row>
    <row r="39" spans="1:10" x14ac:dyDescent="0.25">
      <c r="A39" s="26"/>
      <c r="B39" s="26" t="s">
        <v>86</v>
      </c>
      <c r="C39" s="24">
        <f>C38+D38</f>
        <v>167.64</v>
      </c>
      <c r="D39" s="25"/>
      <c r="E39" s="25"/>
      <c r="H39" s="1"/>
      <c r="I39" s="1"/>
    </row>
    <row r="40" spans="1:10" x14ac:dyDescent="0.25">
      <c r="A40" s="26"/>
      <c r="B40" s="26" t="s">
        <v>87</v>
      </c>
      <c r="C40" s="24">
        <f>C30/C39</f>
        <v>18.402414374343468</v>
      </c>
      <c r="D40" s="25"/>
      <c r="E40" s="25"/>
      <c r="H40" s="1"/>
      <c r="I40" s="1"/>
    </row>
    <row r="41" spans="1:10" x14ac:dyDescent="0.25">
      <c r="A41" s="26"/>
      <c r="B41" s="26"/>
      <c r="C41" s="24"/>
      <c r="D41" s="25"/>
      <c r="E41" s="25"/>
      <c r="H41" s="1"/>
      <c r="I41" s="1"/>
    </row>
    <row r="42" spans="1:10" x14ac:dyDescent="0.25">
      <c r="A42" s="26"/>
      <c r="B42" s="26" t="s">
        <v>88</v>
      </c>
      <c r="C42" s="25"/>
      <c r="D42" s="25">
        <v>10</v>
      </c>
      <c r="E42" s="25"/>
      <c r="H42" s="1">
        <f>36*2.54</f>
        <v>91.44</v>
      </c>
      <c r="I42" s="1"/>
    </row>
    <row r="43" spans="1:10" x14ac:dyDescent="0.25">
      <c r="A43" s="26"/>
      <c r="B43" s="26"/>
      <c r="C43" s="25"/>
      <c r="D43" s="25">
        <v>12</v>
      </c>
      <c r="E43" s="25"/>
      <c r="F43">
        <f>12*2.54</f>
        <v>30.48</v>
      </c>
      <c r="H43" s="1">
        <f>12*2.54</f>
        <v>30.48</v>
      </c>
      <c r="I43" s="1"/>
    </row>
    <row r="44" spans="1:10" x14ac:dyDescent="0.25">
      <c r="A44" s="26"/>
      <c r="B44" s="26"/>
      <c r="C44" s="25"/>
      <c r="D44" s="25"/>
      <c r="E44" s="25"/>
      <c r="H44" s="1"/>
      <c r="I44" s="1"/>
    </row>
    <row r="45" spans="1:10" x14ac:dyDescent="0.25">
      <c r="A45" s="26"/>
      <c r="B45" s="26" t="s">
        <v>89</v>
      </c>
      <c r="C45" s="25"/>
      <c r="D45" s="25"/>
      <c r="E45" s="25"/>
      <c r="H45" s="1"/>
      <c r="I45" s="1"/>
    </row>
    <row r="46" spans="1:10" x14ac:dyDescent="0.25">
      <c r="A46" s="26"/>
      <c r="B46" s="26"/>
      <c r="C46" s="25" t="s">
        <v>90</v>
      </c>
      <c r="D46" s="25" t="s">
        <v>91</v>
      </c>
      <c r="E46" s="25" t="s">
        <v>92</v>
      </c>
      <c r="F46" s="25" t="s">
        <v>93</v>
      </c>
      <c r="G46" s="25" t="s">
        <v>24</v>
      </c>
      <c r="H46" s="1"/>
      <c r="I46" s="1"/>
    </row>
    <row r="47" spans="1:10" x14ac:dyDescent="0.25">
      <c r="A47" s="26"/>
      <c r="B47" s="26" t="s">
        <v>94</v>
      </c>
      <c r="C47" s="25">
        <v>2</v>
      </c>
      <c r="D47" s="25">
        <v>11</v>
      </c>
      <c r="E47" s="25">
        <v>15</v>
      </c>
      <c r="F47" s="21">
        <f>2*2.54</f>
        <v>5.08</v>
      </c>
      <c r="G47" s="21">
        <f>C47*D47*E47*F47</f>
        <v>1676.4</v>
      </c>
      <c r="H47" s="22"/>
      <c r="I47" s="22"/>
      <c r="J47" s="21"/>
    </row>
    <row r="48" spans="1:10" x14ac:dyDescent="0.25">
      <c r="A48" s="26"/>
      <c r="B48" s="26" t="s">
        <v>95</v>
      </c>
      <c r="C48" s="25">
        <v>2</v>
      </c>
      <c r="D48" s="25">
        <v>11</v>
      </c>
      <c r="E48" s="25">
        <v>15</v>
      </c>
      <c r="F48" s="21">
        <f>2*2.54</f>
        <v>5.08</v>
      </c>
      <c r="G48" s="21">
        <f>C48*D48*E48*F48</f>
        <v>1676.4</v>
      </c>
      <c r="H48" s="22"/>
      <c r="I48" s="22"/>
      <c r="J48" s="21"/>
    </row>
    <row r="49" spans="1:10" x14ac:dyDescent="0.25">
      <c r="A49" s="26"/>
      <c r="B49" s="26" t="s">
        <v>96</v>
      </c>
      <c r="C49" s="25">
        <v>2</v>
      </c>
      <c r="D49" s="25">
        <v>24</v>
      </c>
      <c r="E49" s="25">
        <v>15</v>
      </c>
      <c r="F49" s="26">
        <v>2.54</v>
      </c>
      <c r="G49" s="21">
        <f>C49*D49*E49*F49</f>
        <v>1828.8</v>
      </c>
      <c r="H49" s="21"/>
      <c r="I49" s="21"/>
      <c r="J49" s="21"/>
    </row>
    <row r="50" spans="1:10" x14ac:dyDescent="0.25">
      <c r="A50" s="26"/>
      <c r="B50" s="26"/>
      <c r="C50" s="26"/>
      <c r="D50" s="26"/>
      <c r="E50" s="26"/>
      <c r="F50" s="21"/>
      <c r="G50" s="21">
        <f>SUM(G47:G49)</f>
        <v>5181.6000000000004</v>
      </c>
      <c r="H50" s="21"/>
      <c r="I50" s="21"/>
      <c r="J50" s="21"/>
    </row>
    <row r="51" spans="1:10" x14ac:dyDescent="0.25">
      <c r="A51" s="26"/>
      <c r="B51" s="26" t="s">
        <v>98</v>
      </c>
      <c r="C51" s="26"/>
      <c r="D51" s="26"/>
      <c r="E51" s="26"/>
      <c r="F51" s="21"/>
      <c r="G51" s="21"/>
      <c r="H51" s="21"/>
      <c r="I51" s="23"/>
      <c r="J51" s="21"/>
    </row>
    <row r="52" spans="1:10" x14ac:dyDescent="0.25">
      <c r="A52" s="26"/>
      <c r="B52" s="26" t="s">
        <v>99</v>
      </c>
      <c r="C52" s="25">
        <v>4</v>
      </c>
      <c r="D52" s="25">
        <v>11</v>
      </c>
      <c r="E52" s="26">
        <v>11</v>
      </c>
      <c r="F52" s="21">
        <f>D52*E52</f>
        <v>121</v>
      </c>
      <c r="G52" s="21"/>
      <c r="H52" s="21"/>
      <c r="I52" s="21"/>
      <c r="J52" s="21"/>
    </row>
    <row r="53" spans="1:10" x14ac:dyDescent="0.25">
      <c r="A53" s="26"/>
      <c r="B53" s="26" t="s">
        <v>100</v>
      </c>
      <c r="C53" s="25">
        <v>4</v>
      </c>
      <c r="D53" s="25">
        <v>11</v>
      </c>
      <c r="E53" s="26">
        <v>17.5</v>
      </c>
      <c r="F53" s="21">
        <f>D53*E53/2</f>
        <v>96.25</v>
      </c>
      <c r="G53" s="21"/>
      <c r="H53" s="21"/>
      <c r="I53" s="23"/>
      <c r="J53" s="21"/>
    </row>
    <row r="54" spans="1:10" x14ac:dyDescent="0.25">
      <c r="A54" s="26"/>
      <c r="B54" s="26" t="s">
        <v>51</v>
      </c>
      <c r="C54" s="26"/>
      <c r="D54" s="26"/>
      <c r="E54" s="26"/>
      <c r="F54" s="21">
        <f>SUM(F52:F53)</f>
        <v>217.25</v>
      </c>
      <c r="G54" s="21"/>
      <c r="H54" s="21"/>
      <c r="I54" s="21"/>
      <c r="J54" s="21"/>
    </row>
    <row r="55" spans="1:10" x14ac:dyDescent="0.25">
      <c r="A55" s="26"/>
      <c r="B55" s="26" t="s">
        <v>101</v>
      </c>
      <c r="C55" s="26"/>
      <c r="D55" s="26"/>
      <c r="E55" s="26"/>
      <c r="F55" s="21">
        <f>C29/F54</f>
        <v>28.400283044556396</v>
      </c>
      <c r="G55" s="21"/>
      <c r="H55" s="21"/>
      <c r="I55" s="21"/>
      <c r="J55" s="21"/>
    </row>
    <row r="56" spans="1:10" x14ac:dyDescent="0.25">
      <c r="B56" s="21"/>
      <c r="C56" s="21"/>
      <c r="D56" s="21"/>
      <c r="E56" s="21"/>
      <c r="F56" s="21"/>
      <c r="G56" s="21"/>
      <c r="H56" s="21"/>
      <c r="I56" s="21"/>
      <c r="J56" s="21"/>
    </row>
    <row r="57" spans="1:10" x14ac:dyDescent="0.25">
      <c r="B57" s="21"/>
      <c r="C57" s="21"/>
      <c r="D57" s="21"/>
      <c r="E57" s="21"/>
      <c r="F57" s="21"/>
      <c r="G57" s="21"/>
      <c r="H57" s="21"/>
      <c r="I57" s="21"/>
      <c r="J57" s="21"/>
    </row>
    <row r="58" spans="1:10" x14ac:dyDescent="0.25">
      <c r="B58" s="21"/>
      <c r="C58" s="21"/>
      <c r="D58" s="21"/>
      <c r="E58" s="21"/>
      <c r="F58" s="21"/>
      <c r="G58" s="21"/>
      <c r="H58" s="21"/>
      <c r="I58" s="21"/>
      <c r="J58" s="21"/>
    </row>
    <row r="59" spans="1:10" x14ac:dyDescent="0.25">
      <c r="B59" s="21"/>
      <c r="C59" s="21"/>
      <c r="D59" s="21"/>
      <c r="E59" s="21"/>
      <c r="F59" s="21"/>
      <c r="G59" s="21"/>
      <c r="H59" s="21"/>
      <c r="I59" s="21"/>
      <c r="J59" s="21"/>
    </row>
    <row r="60" spans="1:10" x14ac:dyDescent="0.25">
      <c r="B60" s="21"/>
      <c r="C60" s="21"/>
      <c r="D60" s="21"/>
      <c r="E60" s="21"/>
      <c r="F60" s="21"/>
      <c r="G60" s="21"/>
      <c r="H60" s="21"/>
      <c r="I60" s="21"/>
      <c r="J60" s="21"/>
    </row>
    <row r="61" spans="1:10" x14ac:dyDescent="0.25">
      <c r="B61" s="23"/>
      <c r="C61" s="21"/>
      <c r="D61" s="21"/>
      <c r="E61" s="21"/>
      <c r="F61" s="21"/>
      <c r="G61" s="21"/>
      <c r="H61" s="21"/>
      <c r="I61" s="21"/>
      <c r="J61" s="21"/>
    </row>
    <row r="62" spans="1:10" x14ac:dyDescent="0.25">
      <c r="B62" s="21"/>
      <c r="C62" s="21"/>
      <c r="D62" s="21"/>
      <c r="E62" s="21"/>
      <c r="F62" s="21"/>
      <c r="G62" s="21"/>
      <c r="H62" s="21"/>
      <c r="I62" s="21"/>
      <c r="J62" s="21"/>
    </row>
    <row r="63" spans="1:10" x14ac:dyDescent="0.25">
      <c r="B63" s="21"/>
      <c r="C63" s="21"/>
      <c r="D63" s="21"/>
      <c r="E63" s="21"/>
      <c r="F63" s="21"/>
      <c r="G63" s="21"/>
      <c r="H63" s="21"/>
      <c r="I63" s="21"/>
      <c r="J63" s="21"/>
    </row>
    <row r="64" spans="1:10" x14ac:dyDescent="0.25">
      <c r="B64" s="21"/>
      <c r="C64" s="21"/>
      <c r="D64" s="21"/>
      <c r="E64" s="21"/>
      <c r="F64" s="21"/>
      <c r="G64" s="21"/>
      <c r="H64" s="21"/>
      <c r="I64" s="21"/>
      <c r="J64" s="21"/>
    </row>
    <row r="65" spans="2:10" x14ac:dyDescent="0.25">
      <c r="B65" s="21"/>
      <c r="C65" s="21"/>
      <c r="D65" s="21"/>
      <c r="E65" s="21"/>
      <c r="F65" s="21"/>
      <c r="G65" s="21"/>
      <c r="H65" s="21"/>
      <c r="I65" s="21"/>
      <c r="J65" s="21"/>
    </row>
    <row r="66" spans="2:10" x14ac:dyDescent="0.25">
      <c r="B66" s="21"/>
      <c r="C66" s="21"/>
      <c r="D66" s="21"/>
      <c r="E66" s="21"/>
      <c r="F66" s="21"/>
      <c r="G66" s="21"/>
      <c r="H66" s="21"/>
      <c r="I66" s="21"/>
      <c r="J66" s="21"/>
    </row>
    <row r="67" spans="2:10" x14ac:dyDescent="0.25">
      <c r="B67" s="21"/>
      <c r="C67" s="21"/>
      <c r="D67" s="21"/>
      <c r="E67" s="21"/>
      <c r="F67" s="21"/>
      <c r="G67" s="21"/>
      <c r="H67" s="21"/>
      <c r="I67" s="21"/>
      <c r="J67" s="21"/>
    </row>
    <row r="68" spans="2:10" x14ac:dyDescent="0.25">
      <c r="B68" s="21"/>
      <c r="C68" s="21"/>
      <c r="D68" s="21"/>
      <c r="E68" s="21"/>
      <c r="F68" s="21"/>
      <c r="G68" s="21"/>
      <c r="H68" s="21"/>
      <c r="I68" s="21"/>
      <c r="J68" s="21"/>
    </row>
    <row r="69" spans="2:10" x14ac:dyDescent="0.25">
      <c r="B69" s="21"/>
      <c r="C69" s="21"/>
      <c r="D69" s="21"/>
      <c r="E69" s="21"/>
      <c r="F69" s="21"/>
      <c r="G69" s="21"/>
      <c r="H69" s="21"/>
      <c r="I69" s="21"/>
      <c r="J69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both sides</vt:lpstr>
      <vt:lpstr>BEST</vt:lpstr>
      <vt:lpstr>Cork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Misclab</cp:lastModifiedBy>
  <dcterms:created xsi:type="dcterms:W3CDTF">2012-11-15T19:25:05Z</dcterms:created>
  <dcterms:modified xsi:type="dcterms:W3CDTF">2017-06-28T14:00:41Z</dcterms:modified>
</cp:coreProperties>
</file>